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 SP Nataga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  <sheet state="visible" name="06" sheetId="7" r:id="rId11"/>
    <sheet state="visible" name="07" sheetId="8" r:id="rId12"/>
    <sheet state="visible" name="08" sheetId="9" r:id="rId13"/>
    <sheet state="visible" name="09" sheetId="10" r:id="rId14"/>
    <sheet state="visible" name="10" sheetId="11" r:id="rId15"/>
    <sheet state="visible" name="11" sheetId="12" r:id="rId16"/>
    <sheet state="visible" name="12" sheetId="13" r:id="rId17"/>
    <sheet state="visible" name="13" sheetId="14" r:id="rId18"/>
    <sheet state="visible" name="14" sheetId="15" r:id="rId19"/>
    <sheet state="visible" name="NATAGA2020" sheetId="16" r:id="rId2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tc={0cbaaec9-b1fb-4e38-a605-4c376e5a3df2}</author>
    <author>tc={8210ec74-2db5-45d2-973e-03045b64a26a}</author>
  </authors>
  <commentList>
    <comment authorId="0" xr:uid="{0cbaaec9-b1fb-4e38-a605-4c376e5a3df2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8210ec74-2db5-45d2-973e-03045b64a26a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<sst xmlns="http://schemas.openxmlformats.org/spreadsheetml/2006/main" count="1293" uniqueCount="377">
  <si>
    <t>AGUAS DEL HUILA S.A. E.S.P.</t>
  </si>
  <si>
    <t>NIT 800'100.553-2</t>
  </si>
  <si>
    <t>SET INDICADORES GESTIÓN</t>
  </si>
  <si>
    <t>Versión 5,0</t>
  </si>
  <si>
    <t xml:space="preserve">PROCESO: </t>
  </si>
  <si>
    <t>GESTIÓN DE SERVICIOS PÚBLICOS - NATAGA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</si>
  <si>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</si>
  <si>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</si>
  <si>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</si>
  <si>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</si>
  <si>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</si>
  <si>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</si>
  <si>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</si>
  <si>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2022</t>
  </si>
  <si>
    <t>RESULTADOS VIGENCIA 2023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</si>
  <si>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</si>
  <si>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</si>
  <si>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</si>
  <si>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</si>
  <si>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</si>
  <si>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</si>
  <si>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</si>
  <si>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</si>
  <si>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</si>
  <si>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</si>
  <si>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</si>
  <si>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</si>
  <si>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</si>
  <si>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</si>
  <si>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</si>
  <si>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</si>
  <si>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</si>
  <si>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Eficiencia de Recaudo  Corriente</t>
  </si>
  <si>
    <t>Medir la eficiencia en el recaudo corriente de la prestación de los servicios pubicos domiciliarios de Aguas del Huila.</t>
  </si>
  <si>
    <t>(Valor  Recaudado  Corriente Usuario Final / Valor  Facturado Corriente Usuario Final) x100%</t>
  </si>
  <si>
    <t>Trimestral</t>
  </si>
  <si>
    <t xml:space="preserve">Eficiencia </t>
  </si>
  <si>
    <t>Entre 80% y 100%</t>
  </si>
  <si>
    <t>Entre 60% y 79%</t>
  </si>
  <si>
    <t>Menor al 59%</t>
  </si>
  <si>
    <t>IN02</t>
  </si>
  <si>
    <t>Eficiencia de Recaudo Total</t>
  </si>
  <si>
    <t>Medir la eficiencia en el recaudo total de la prestación de los servicios pubicos domiciliarios de Aguas del Huila.</t>
  </si>
  <si>
    <t>(Valor  Recaudado  Total Usuario Final / Valor  total Facturado usuario Final) x100%</t>
  </si>
  <si>
    <t>Entre 71% y 100%</t>
  </si>
  <si>
    <t>Entre 60% y 70%</t>
  </si>
  <si>
    <t>IN03</t>
  </si>
  <si>
    <t xml:space="preserve">Rotación de Cartera </t>
  </si>
  <si>
    <t>Controlar la cartera existentes de servicios publicos por edades con el fin de evaluar la rotación de la misma.</t>
  </si>
  <si>
    <t>(Cuentas por Cobrar  a particulares y/o oficiales /  Valor Facturado Usuarios particulares y/o oficiales) x 365</t>
  </si>
  <si>
    <t>Menor a 31 días</t>
  </si>
  <si>
    <t>Entre 31 y 45 días</t>
  </si>
  <si>
    <t>Mayor a 45 días</t>
  </si>
  <si>
    <t>IN04</t>
  </si>
  <si>
    <t>Ejecución de inversiones</t>
  </si>
  <si>
    <t>Realizar el seguimiento a la ejecución de la inversión establecida para la vigencia fiscal respectiva.</t>
  </si>
  <si>
    <t xml:space="preserve">(Inversión realizada / Inversión presupuestada) x 100% </t>
  </si>
  <si>
    <t>IN05</t>
  </si>
  <si>
    <t>Cobertura   (Acueducto)</t>
  </si>
  <si>
    <t xml:space="preserve">Medir el grado de cobertura en   la prestación del servicio de acueducto administrado por Aguas del Huila. </t>
  </si>
  <si>
    <t xml:space="preserve">(Número de Suscriptores servicio acueducto / Número de Domicilios) x 100% </t>
  </si>
  <si>
    <t>IN06</t>
  </si>
  <si>
    <t>Cobertura   (Alcantarillado)</t>
  </si>
  <si>
    <t xml:space="preserve">Medir el grado de cobertura en   la prestación del servicio de alcantarillado administrado  por Aguas del Huila. </t>
  </si>
  <si>
    <t xml:space="preserve">(Número de Suscriptores servicio alcantarillado / Número de Domicilios) x 100%  </t>
  </si>
  <si>
    <t>IN07</t>
  </si>
  <si>
    <t xml:space="preserve">Cobertura   (Servicio de Aseo) </t>
  </si>
  <si>
    <t xml:space="preserve">Medir el grado de cobertura en   la prestación del servicio de aseo administrado  por Aguas del Huila. </t>
  </si>
  <si>
    <t xml:space="preserve">(Residuos sólidos recolectada / Residuos sólidos producidos) x 100%           </t>
  </si>
  <si>
    <t>IN08</t>
  </si>
  <si>
    <t>Cobertura de medición</t>
  </si>
  <si>
    <t>Lograr que los suscriptores del servicio de acueducto de Aguas del Huila, tengan su instrumento medición.</t>
  </si>
  <si>
    <t xml:space="preserve">(Número de Medidores en servicio / Número de Suscriptores) x 100%          </t>
  </si>
  <si>
    <t>IN09</t>
  </si>
  <si>
    <t>Calidad del Agua</t>
  </si>
  <si>
    <t>Monitorear la calidad de agua suministrada a los usuarios por parte de Aguas de Huila.</t>
  </si>
  <si>
    <t xml:space="preserve">Medición de acuerdo al IRCA          </t>
  </si>
  <si>
    <t>Menor al 5%</t>
  </si>
  <si>
    <t>Entre el 5% y el 8%</t>
  </si>
  <si>
    <t>Mayor al 8%</t>
  </si>
  <si>
    <t>IN10</t>
  </si>
  <si>
    <t>Índice de agua no contabilizada</t>
  </si>
  <si>
    <t>Lograr que Aguas del Huila facture la totalidad del agua producida.</t>
  </si>
  <si>
    <t xml:space="preserve">(Volumen  producido - Volumen facturado /   Volumen  producido)   x 100          </t>
  </si>
  <si>
    <t>Menor al 30%</t>
  </si>
  <si>
    <t>Entre el 30% y el 50%</t>
  </si>
  <si>
    <t>Mayor al 50%</t>
  </si>
  <si>
    <t>IN11</t>
  </si>
  <si>
    <t>Continuidad del servicio (Acueducto)</t>
  </si>
  <si>
    <t>Prestar el servico de acueducto en forma continua las 24 horas.</t>
  </si>
  <si>
    <t>(720 - Horas sin servicio mensuales) / 720) * 100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</si>
  <si>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</si>
  <si>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</si>
  <si>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</si>
  <si>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IN12</t>
  </si>
  <si>
    <t>Continuidad del Servicio (Aseo)</t>
  </si>
  <si>
    <t>Recolectar los residuos solidos en los dias y rutas establecidas en el PEGIRS.</t>
  </si>
  <si>
    <t>Número de dias de recolección de residuos sólidos por semestre / 144</t>
  </si>
  <si>
    <t>Semestral</t>
  </si>
  <si>
    <t>PROCESO</t>
  </si>
  <si>
    <t>Entre 91% y 100%</t>
  </si>
  <si>
    <t>Entre 71% y 90%</t>
  </si>
  <si>
    <t>Menor al 70%</t>
  </si>
  <si>
    <t>IN13</t>
  </si>
  <si>
    <t>PQR en la prestación del servicio.</t>
  </si>
  <si>
    <t>Medir el grado de satisfación de los suscriptores en la prestación del servicio.</t>
  </si>
  <si>
    <t>Número de PQR recibidas / número de suscriptores del servicio*100</t>
  </si>
  <si>
    <t>Entre 0 y 10%</t>
  </si>
  <si>
    <t>Entre 11% y el 20%</t>
  </si>
  <si>
    <t>Mayor al 21%</t>
  </si>
  <si>
    <t>&lt; 1%</t>
  </si>
  <si>
    <t>TIPO DE INDICADOR</t>
  </si>
  <si>
    <t>CÓDIGO DEL INDICADOR</t>
  </si>
  <si>
    <t>IN14</t>
  </si>
  <si>
    <t>Disposición en Relleno Sanitario</t>
  </si>
  <si>
    <t>Disponer la totalidad de los residuos solidos recolectados en el sitio de disposición final.</t>
  </si>
  <si>
    <t>(Residuos sólidos en relleno sanitario / Residuos sólidos producidos)     x 100    %</t>
  </si>
  <si>
    <t>AH-SP-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</si>
  <si>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</si>
  <si>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</si>
  <si>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</si>
  <si>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</si>
  <si>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</si>
  <si>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</si>
  <si>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</si>
  <si>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</si>
  <si>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</si>
  <si>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</si>
  <si>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</si>
  <si>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</si>
  <si>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</si>
  <si>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</si>
  <si>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</si>
  <si>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 - COLOMBIA</t>
  </si>
  <si>
    <t>GESTIÓN DE SERVICIOS PÚBLICOS - PAICOL</t>
  </si>
  <si>
    <t>Por obtener Datos</t>
  </si>
  <si>
    <t>GESTIÓN DE SERVICIOS PÚBLICOS - TARQUÍ</t>
  </si>
  <si>
    <t>GESTIÓN DE SERVICIOS PÚBLICOS - SANTA MARÍA</t>
  </si>
  <si>
    <t>GESTIÓN DEL CONOCIMIENTO</t>
  </si>
  <si>
    <t>GESTIÓN FINANCIERA</t>
  </si>
  <si>
    <t>CONTROL INTERNO</t>
  </si>
  <si>
    <t>Por Análizar Datos</t>
  </si>
  <si>
    <t>DIRECCIONAMIENTO ESTRATÉGICO</t>
  </si>
  <si>
    <t>Eficacia</t>
  </si>
  <si>
    <t>Efectividad</t>
  </si>
  <si>
    <t>Mensual</t>
  </si>
  <si>
    <t>Bimensual</t>
  </si>
  <si>
    <t>Cuatrimestral</t>
  </si>
  <si>
    <t>Anual</t>
  </si>
  <si>
    <t>Días</t>
  </si>
  <si>
    <t>%</t>
  </si>
  <si>
    <t>GRUPO DE GESTIÓN DE SERVICIOS PÚBLICOS</t>
  </si>
  <si>
    <t>METODOLOGIA PARA OBTENER LOS DATOS:</t>
  </si>
  <si>
    <t>MEDICIÓN DE DATOS:</t>
  </si>
  <si>
    <t>VIGENCIA 2022</t>
  </si>
  <si>
    <t>MES</t>
  </si>
  <si>
    <t>ACUM</t>
  </si>
  <si>
    <t>RESULTADOS DE LA VIGENCIA</t>
  </si>
  <si>
    <t>META  AÑO 2022</t>
  </si>
  <si>
    <t>VARIABLES</t>
  </si>
  <si>
    <t>Vr. Total Recaudado usuario final</t>
  </si>
  <si>
    <t>Vr. recaudado corriente usuario final</t>
  </si>
  <si>
    <t>Cuentas por cobrar a particulares y/o entidades oficiales</t>
  </si>
  <si>
    <t>Vr. Total Facturado usuario final</t>
  </si>
  <si>
    <t>Vr. Facturado usuarios particulares y/o entidades oficiales - Mes</t>
  </si>
  <si>
    <t>Vr. Facturado corriente usuario final</t>
  </si>
  <si>
    <t>Vr. Facturado usuarios particulares y/o entidades oficiales - Acumulado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</si>
  <si>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</si>
  <si>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</si>
  <si>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</si>
  <si>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</si>
  <si>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</si>
  <si>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</si>
  <si>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Se cumplió la meta propuesta, manteniendo una rotación de cartera en nivel óptimo.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</si>
  <si>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</si>
  <si>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En enero se alcanzó un recaudo del 83,4%, superando la meta del 75,0%.</t>
  </si>
  <si>
    <t>En enero de 2022, el indicador alcanzó un 82.8%, situándose en el rango óptimo, aunque levemente por debajo de la meta del 85%.</t>
  </si>
  <si>
    <t>En febrero se alcanzó un recaudo del 89,7%, superando la meta del 75,0%.</t>
  </si>
  <si>
    <t>Para febrero de 2022, se logró un 88.5%, superando la meta del 85% y manteniéndose en el rango óptimo de evaluación.</t>
  </si>
  <si>
    <t>En marzo se alcanzó un recaudo del 89,0%, superando la meta del 75,0%.</t>
  </si>
  <si>
    <t>En abril se alcanzó un recaudo del 80,6%, superando la meta del 75,0%.</t>
  </si>
  <si>
    <t>En marzo de 2022, el indicador se ubicó en 88.1%, logrando superar la meta del 85% dentro del rango óptimo.</t>
  </si>
  <si>
    <t>En mayo se alcanzó un recaudo del 84,7%, superando la meta del 75,0%.</t>
  </si>
  <si>
    <t>Durante abril de 2022, el recaudo fue del 77.7%, sin alcanzar la meta del 85% y ubicándose en el rango aceptable.</t>
  </si>
  <si>
    <t>En junio se alcanzó un recaudo del 81,5%, superando la meta del 75,0%.</t>
  </si>
  <si>
    <t>En mayo de 2022, se obtuvo un destacado 96.8%, superando ampliamente la meta del 85% en el rango óptimo.</t>
  </si>
  <si>
    <t>Para junio de 2022, el indicador descendió a 62.6%, por debajo de la meta del 85%, situándose en el rango aceptable.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</si>
  <si>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</si>
  <si>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las estrategias de recaudo actuales para mantener el indicador en niveles óptimos.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</si>
  <si>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</si>
  <si>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 cumplió la meta durante todo el semestre. Se recomienda continuar con las estrategias de recaudo actuales para mantener estos niveles óptimos.</t>
  </si>
  <si>
    <t>GRUPO DE GESTIÓN DE PROYECTOS</t>
  </si>
  <si>
    <t>GRUPO DE GESTIÓN DE PORTAFOLIO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</si>
  <si>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</si>
  <si>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GESTIÓN DE OPORTUNIDADES</t>
  </si>
  <si>
    <t>GRUPO DE GESTIÓN DE BIENES Y SERVICIOS</t>
  </si>
  <si>
    <t>GRUPO DE GESTIÓN JURÍDICA - CONTRATACIÓN</t>
  </si>
  <si>
    <t>Implementar estrategias de cobro persuasivo y seguimiento a la cartera morosa para los meses de incumplimiento (abril y junio), con el fin de mejorar la eficiencia del recaudo corriente y alcanzar la meta del 85%.</t>
  </si>
  <si>
    <t>GRUPO DE TECNOLOGIAS DE LA INFORMACIÓN Y LA COMUNICACIÓN - TIC'S</t>
  </si>
  <si>
    <t>GRUPO DE MEJORAMIENTO CONTINUO</t>
  </si>
  <si>
    <t>GRUPO DE GESTIÓN DE RECURSOS HUMANOS</t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</si>
  <si>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</si>
  <si>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</si>
  <si>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</si>
  <si>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</si>
  <si>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</si>
  <si>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Inversión realizada por mes</t>
  </si>
  <si>
    <t>Inversión Acumulada en el periodo</t>
  </si>
  <si>
    <t>Inversión Presupuestada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</si>
  <si>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</si>
  <si>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Con recursos de las tarifas no se proyectaron inversiones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</si>
  <si>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</si>
  <si>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</si>
  <si>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</si>
  <si>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No. de suscriptores servicio acueducto</t>
  </si>
  <si>
    <t>No. de domicilios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</si>
  <si>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</si>
  <si>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indicador de cobertura de acueducto para el mes de enero alcanzó un 99,4%, con 964 suscriptores de 970 domicilios, ubicándose en el rango de evaluación Óptima.</t>
  </si>
  <si>
    <t>El indicador de cobertura de acueducto para el mes de febrero alcanzó un 99,2%, con 962 suscriptores de 970 domicilios, ubicándose en el rango de evaluación Óptima.</t>
  </si>
  <si>
    <t>El indicador de cobertura de acueducto para el mes de marzo alcanzó un 99,3%, con 963 suscriptores de 970 domicilios, ubicándose en el rango de evaluación Óptima.</t>
  </si>
  <si>
    <t>No. de suscriptores servicio alcantarillado</t>
  </si>
  <si>
    <t>El indicador de cobertura de acueducto para el mes de abril alcanzó la meta del 100,0%, con 970 suscriptores de 970 domicilios, ubicándose en el rango de evaluación Óptima.</t>
  </si>
  <si>
    <t>El indicador de cobertura de acueducto para el mes de mayo alcanzó un 99,9%, con 980 suscriptores de 981 domicilios, ubicándose en el rango de evaluación Óptima.</t>
  </si>
  <si>
    <t>El indicador de cobertura de acueducto para el mes de junio alcanzó un 99,9%, con 980 suscriptores de 981 domicilios, ubicándose en el rango de evaluación Óptima.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</si>
  <si>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</si>
  <si>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Continuar con el seguimiento mensual y promover la conexión al servicio de acueducto para los domicilios faltantes, con el fin de alcanzar y mantener la meta del 100%.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</si>
  <si>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</si>
  <si>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alcanzó una cobertura del 96.5%, ubicándose en el rango Óptimo.</t>
  </si>
  <si>
    <t>Se alcanzó una cobertura del 96.3%, ubicándose en el rango Óptimo.</t>
  </si>
  <si>
    <t>Se alcanzó una cobertura del 96.4%, ubicándose en el rango Óptimo.</t>
  </si>
  <si>
    <t>Se alcanzó una cobertura del 97.1%, ubicándose en el rango Óptimo.</t>
  </si>
  <si>
    <t>Se alcanzó una cobertura del 97.0%, ubicándose en el rango Óptimo.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</si>
  <si>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</si>
  <si>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Gestionar la conexión de los domicilios faltantes al sistema de alcantarillado para alcanzar la meta del 100%.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</si>
  <si>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</si>
  <si>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</si>
  <si>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Residuos sólidos recolectados</t>
  </si>
  <si>
    <t>Residuos sólidos producidos</t>
  </si>
  <si>
    <t>No. de medidores en servicio</t>
  </si>
  <si>
    <t>No. de suscriptores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</si>
  <si>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</si>
  <si>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Cumplimiento del 96.4%, superando la línea base pero sin alcanzar la meta del 100%.</t>
  </si>
  <si>
    <t>Cumplimiento del 96.2%, superando la línea base pero sin alcanzar la meta del 100%.</t>
  </si>
  <si>
    <t>Sin datos registrados en la vigencia.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</si>
  <si>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</si>
  <si>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cumplió la meta del 98.0%, alcanzando un 99.3% de cobertura de medición.</t>
  </si>
  <si>
    <t>Se cumplió la meta del 98.0%, alcanzando un 99.2% de cobertura de medición.</t>
  </si>
  <si>
    <t>Se cumplió la meta del 98.0%, alcanzando un 99.0% de cobertura de medición.</t>
  </si>
  <si>
    <t>Se cumplió la meta del 98.0%, alcanzando un 98.8% de cobertura de medición.</t>
  </si>
  <si>
    <t>Se cumplió la meta del 98.0%, alcanzando un 98.7% de cobertura de medición.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</si>
  <si>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</si>
  <si>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Se requiere revisar la recolección de datos para los meses de marzo a junio y evaluar estrategias para alcanzar la meta del 100%.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</si>
  <si>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</si>
  <si>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No se requieren acciones de mejoramiento, se cumplió con la meta establecida durante el periodo.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</si>
  <si>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</si>
  <si>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Resultados medición metodológia IRCA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</si>
  <si>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</si>
  <si>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No se reportó información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</si>
  <si>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</si>
  <si>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Establecer un mecanismo de seguimiento para asegurar el reporte mensual de la información.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</si>
  <si>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</si>
  <si>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</si>
  <si>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</si>
  <si>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 xml:space="preserve">Volumen producido </t>
  </si>
  <si>
    <t>Horas sin servicio mensual</t>
  </si>
  <si>
    <t>Volumen facturado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</si>
  <si>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</si>
  <si>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</si>
  <si>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No se cumplió la meta del 45% (Resultado: 49.3%).</t>
  </si>
  <si>
    <t>Se cumplió la meta del 45% (Resultado: 11.4%).</t>
  </si>
  <si>
    <t>No se cumplió la meta del 45% (Resultado: 50.0%).</t>
  </si>
  <si>
    <t>Se cumplió la meta del 45% (Resultado: 36.1%).</t>
  </si>
  <si>
    <t>Se cumplió la meta del 45% (Resultado: 36.5%).</t>
  </si>
  <si>
    <t>Se cumplió la meta del 45% (Resultado: 36.2%).</t>
  </si>
  <si>
    <t>No. de días de recolección de residuos sólidos en el mes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</si>
  <si>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</si>
  <si>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</si>
  <si>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Debido a los incumplimientos en enero y marzo, se deben implementar acciones de revisión de fugas, optimización de facturación y control de pérdidas de agua para cumplir la meta del 45%.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</si>
  <si>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</si>
  <si>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100,0% cumplió a cabalidad con la meta establecida.</t>
  </si>
  <si>
    <t>No se reportó información.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</si>
  <si>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</si>
  <si>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ACCIONES DE MEJORAMIENTO REQUERIDAS (Acciones a tomar cuando se evidencie el incumplimiento de las metas propuestas)
1. Establecer un mecanismo de control y seguimiento para garantizar el reporte oportuno de la información en todos los meses, evitando vacíos como el evidenciado en junio.
2. Designar un responsable encargado de verificar mensualmente la consolidación y registro de los datos de recolección de residuos sólidos.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</si>
  <si>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</si>
  <si>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PQR recibidas</t>
  </si>
  <si>
    <t>Número de suscriptores del servicio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</si>
  <si>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</si>
  <si>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Durante este periodo no se reportan casos, dando cumplimiento a la meta.</t>
  </si>
  <si>
    <t>Se da cumplimiento a la meta.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</si>
  <si>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</si>
  <si>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Garantizar el reporte oportuno de la información.</t>
  </si>
  <si>
    <t>&lt; 15%</t>
  </si>
  <si>
    <t>&lt; 5%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</si>
  <si>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</si>
  <si>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Residuos sólidos en relleno sanitario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</si>
  <si>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</si>
  <si>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El resultado de enero (96.4%) se encuentra por debajo de la meta del 100%.</t>
  </si>
  <si>
    <t>El resultado de febrero (96.2%) continúa por debajo de la meta del 100%.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</si>
  <si>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</si>
  <si>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ACCIONES DE MEJORAMIENTO REQUERIDAS (Acciones a tomar cuando se evidencie el incumplimiento de las metas propuestas):
1. Revisar los protocolos de recolección para identificar pérdidas de residuos.
2. Establecer un monitoreo para garantizar la disposición del 100% de residuos.</t>
  </si>
  <si>
    <t>TABLERO DE INDICADORES BÁSICOS PARA EMPRESAS DE ACUEDUCTO, ALCANTARILLADO Y ASEO</t>
  </si>
  <si>
    <t>MUNICIPIO : NATAGA</t>
  </si>
  <si>
    <t>EMPRESA:</t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</si>
  <si>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</si>
  <si>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</si>
  <si>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</si>
  <si>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</si>
  <si>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</si>
  <si>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</si>
  <si>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</si>
  <si>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</si>
  <si>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</si>
  <si>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</si>
  <si>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Volúmen de vertimiento de alcantarillado facturado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</si>
  <si>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</si>
  <si>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</si>
  <si>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</si>
  <si>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</si>
  <si>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</si>
  <si>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</si>
  <si>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</si>
  <si>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</si>
  <si>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</si>
  <si>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</si>
  <si>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</si>
  <si>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</si>
  <si>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</si>
  <si>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</si>
  <si>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</si>
  <si>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</si>
  <si>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</si>
  <si>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</si>
  <si>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</si>
  <si>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</si>
  <si>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</si>
  <si>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</si>
  <si>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</si>
  <si>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</si>
  <si>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</si>
  <si>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fisicoquiímica</t>
  </si>
  <si>
    <t>Toneladas dispuestas Aseo</t>
  </si>
  <si>
    <t>26.27</t>
  </si>
  <si>
    <t>28.36</t>
  </si>
  <si>
    <t>27.99</t>
  </si>
  <si>
    <t>27.82</t>
  </si>
  <si>
    <t>No de horas sin servicio</t>
  </si>
  <si>
    <t>No. de PQR recibidas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</si>
  <si>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</si>
  <si>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</si>
  <si>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</si>
  <si>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</si>
  <si>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</si>
  <si>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</si>
  <si>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</si>
  <si>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</si>
  <si>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</si>
  <si>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</si>
  <si>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</si>
  <si>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</si>
  <si>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</si>
  <si>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</si>
  <si>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</si>
  <si>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</si>
  <si>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</si>
  <si>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</si>
  <si>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</si>
  <si>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</si>
  <si>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</si>
  <si>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</si>
  <si>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</si>
  <si>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 xml:space="preserve">Eficiencia recaudo Total  </t>
  </si>
  <si>
    <t>Eficiencia laboral Acueducto y Alcantarillado</t>
  </si>
  <si>
    <t>($/m3)</t>
  </si>
  <si>
    <t>Utilidad neta</t>
  </si>
  <si>
    <t>IPUF (M3/SUSC-MES)</t>
  </si>
  <si>
    <t>INDICADORES DE COBERTURA</t>
  </si>
  <si>
    <t>COBERTURAS DE SERVICIO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</si>
</sst>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%"/>
    <numFmt numFmtId="165" formatCode="#,##0.0"/>
    <numFmt numFmtId="166" formatCode="_-* #,##0_-;\-* #,##0_-;_-* &quot;-&quot;??_-;_-@"/>
    <numFmt numFmtId="167" formatCode="_-* #,##0.00_-;\-* #,##0.00_-;_-* &quot;-&quot;??_-;_-@"/>
    <numFmt numFmtId="168" formatCode="0.0"/>
    <numFmt numFmtId="169" formatCode="_(* #,##0_);_(* \(#,##0\);_(* &quot;-&quot;??_);_(@_)"/>
    <numFmt numFmtId="170" formatCode="#,##0.000"/>
  </numFmts>
  <fonts count="30">
    <font>
      <sz val="11.0"/>
      <color theme="1"/>
      <name val="Calibri"/>
      <scheme val="minor"/>
    </font>
    <font>
      <sz val="11.0"/>
      <color theme="1"/>
      <name val="Calibri"/>
    </font>
    <font/>
    <font>
      <b/>
      <sz val="10.0"/>
      <color theme="1"/>
      <name val="Calibri"/>
    </font>
    <font>
      <sz val="8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  <font>
      <b/>
      <sz val="10.0"/>
      <color theme="1"/>
      <name val="Arial"/>
    </font>
    <font>
      <b/>
      <sz val="11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4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10.0"/>
      <color theme="1"/>
      <name val="Tahoma"/>
    </font>
    <font>
      <sz val="8.0"/>
      <color theme="1"/>
      <name val="Tahoma"/>
    </font>
    <font>
      <i/>
      <sz val="8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  <font>
      <b/>
      <sz val="16.0"/>
      <color theme="1"/>
      <name val="Arial"/>
    </font>
    <font>
      <sz val="16.0"/>
      <color theme="1"/>
      <name val="Arial"/>
    </font>
    <font>
      <sz val="9.0"/>
      <color theme="1"/>
      <name val="Arial"/>
    </font>
    <font>
      <sz val="10.0"/>
      <color theme="1"/>
      <name val="Calibri"/>
    </font>
    <font>
      <sz val="10.0"/>
      <color rgb="FFFF0000"/>
      <name val="Arial"/>
    </font>
    <font>
      <sz val="9.0"/>
      <color theme="1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  <fill>
      <patternFill patternType="solid">
        <fgColor rgb="FFC0C0C0"/>
        <bgColor rgb="FFC0C0C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6E3BC"/>
        <bgColor rgb="FFD6E3BC"/>
      </patternFill>
    </fill>
    <fill>
      <patternFill patternType="solid">
        <fgColor rgb="FFFFC000"/>
        <bgColor rgb="FFFFC000"/>
      </patternFill>
    </fill>
    <fill>
      <patternFill patternType="solid">
        <fgColor rgb="FF366092"/>
        <bgColor rgb="FF366092"/>
      </patternFill>
    </fill>
  </fills>
  <borders count="84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/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1" fillId="0" fontId="5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6" fillId="0" fontId="6" numFmtId="0" xfId="0" applyAlignment="1" applyBorder="1" applyFont="1">
      <alignment horizontal="center" vertical="center"/>
    </xf>
    <xf borderId="8" fillId="0" fontId="2" numFmtId="0" xfId="0" applyBorder="1" applyFont="1"/>
    <xf borderId="9" fillId="2" fontId="7" numFmtId="0" xfId="0" applyAlignment="1" applyBorder="1" applyFill="1" applyFont="1">
      <alignment horizontal="right" shrinkToFit="0" vertical="center" wrapText="1"/>
    </xf>
    <xf borderId="10" fillId="0" fontId="2" numFmtId="0" xfId="0" applyBorder="1" applyFont="1"/>
    <xf borderId="11" fillId="0" fontId="2" numFmtId="0" xfId="0" applyBorder="1" applyFont="1"/>
    <xf borderId="10" fillId="0" fontId="8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" fillId="2" fontId="9" numFmtId="0" xfId="0" applyAlignment="1" applyBorder="1" applyFill="1" applyFont="1">
      <alignment horizontal="center" shrinkToFit="0" vertical="center" wrapText="1"/>
    </xf>
    <xf borderId="13" fillId="2" fontId="9" numFmtId="0" xfId="0" applyAlignment="1" applyBorder="1" applyFill="1" applyFont="1">
      <alignment horizontal="center" shrinkToFit="0" vertical="center" wrapText="1"/>
    </xf>
    <xf borderId="13" fillId="2" fontId="10" numFmtId="0" xfId="0" applyAlignment="1" applyBorder="1" applyFill="1" applyFont="1">
      <alignment horizontal="center" shrinkToFit="0" textRotation="90" vertical="center" wrapText="1"/>
    </xf>
    <xf borderId="9" fillId="2" fontId="9" numFmtId="0" xfId="0" applyAlignment="1" applyBorder="1" applyFill="1" applyFont="1">
      <alignment horizontal="center" shrinkToFit="0" vertical="center" wrapText="1"/>
    </xf>
    <xf borderId="13" fillId="3" fontId="3" numFmtId="0" xfId="0" applyAlignment="1" applyBorder="1" applyFill="1" applyFont="1">
      <alignment horizontal="center" shrinkToFit="0" textRotation="90" vertical="center" wrapText="1"/>
    </xf>
    <xf borderId="9" fillId="2" fontId="11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4" fontId="10" numFmtId="0" xfId="0" applyAlignment="1" applyBorder="1" applyFill="1" applyFont="1">
      <alignment horizontal="center" shrinkToFit="0" vertical="center" wrapText="1"/>
    </xf>
    <xf borderId="15" fillId="5" fontId="10" numFmtId="0" xfId="0" applyAlignment="1" applyBorder="1" applyFill="1" applyFont="1">
      <alignment horizontal="center" shrinkToFit="0" vertical="center" wrapText="1"/>
    </xf>
    <xf borderId="15" fillId="6" fontId="10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ill="1" applyFont="1">
      <alignment horizontal="center" shrinkToFit="0" textRotation="90" vertical="center" wrapText="1"/>
    </xf>
    <xf borderId="0" fillId="0" fontId="4" numFmtId="0" xfId="0" applyFont="1"/>
    <xf borderId="15" fillId="0" fontId="4" numFmtId="49" xfId="0" applyAlignment="1" applyBorder="1" applyFont="1" applyNumberFormat="1">
      <alignment horizontal="center" vertical="top"/>
    </xf>
    <xf borderId="15" fillId="0" fontId="12" numFmtId="0" xfId="0" applyAlignment="1" applyBorder="1" applyFont="1">
      <alignment shrinkToFit="0" vertical="top" wrapText="1"/>
    </xf>
    <xf borderId="15" fillId="0" fontId="13" numFmtId="0" xfId="0" applyAlignment="1" applyBorder="1" applyFont="1">
      <alignment horizontal="left" shrinkToFit="0" vertical="top" wrapText="1"/>
    </xf>
    <xf borderId="15" fillId="0" fontId="14" numFmtId="0" xfId="0" applyAlignment="1" applyBorder="1" applyFont="1">
      <alignment horizontal="left" shrinkToFit="0" vertical="top" wrapText="1"/>
    </xf>
    <xf borderId="15" fillId="0" fontId="13" numFmtId="0" xfId="0" applyAlignment="1" applyBorder="1" applyFont="1">
      <alignment horizontal="center" shrinkToFit="0" textRotation="90" vertical="center" wrapText="1"/>
    </xf>
    <xf borderId="15" fillId="0" fontId="9" numFmtId="9" xfId="0" applyAlignment="1" applyBorder="1" applyFont="1" applyNumberFormat="1">
      <alignment horizontal="center" shrinkToFit="0" vertical="center" wrapText="1"/>
    </xf>
    <xf borderId="15" fillId="0" fontId="3" numFmtId="164" xfId="0" applyAlignment="1" applyBorder="1" applyFont="1" applyNumberFormat="1">
      <alignment horizontal="center" shrinkToFit="0" textRotation="90" vertical="center" wrapText="1"/>
    </xf>
    <xf borderId="15" fillId="0" fontId="3" numFmtId="165" xfId="0" applyAlignment="1" applyBorder="1" applyFont="1" applyNumberFormat="1">
      <alignment horizontal="center" shrinkToFit="0" textRotation="90" vertical="center" wrapText="1"/>
    </xf>
    <xf borderId="13" fillId="0" fontId="12" numFmtId="0" xfId="0" applyAlignment="1" applyBorder="1" applyFont="1">
      <alignment horizontal="left" shrinkToFit="0" vertical="top" wrapText="1"/>
    </xf>
    <xf borderId="16" fillId="0" fontId="15" numFmtId="0" xfId="0" applyAlignment="1" applyBorder="1" applyFont="1">
      <alignment horizontal="center" vertical="center"/>
    </xf>
    <xf borderId="17" fillId="0" fontId="2" numFmtId="0" xfId="0" applyBorder="1" applyFont="1"/>
    <xf borderId="16" fillId="0" fontId="16" numFmtId="0" xfId="0" applyAlignment="1" applyBorder="1" applyFont="1">
      <alignment horizontal="center" vertical="center"/>
    </xf>
    <xf borderId="18" fillId="0" fontId="2" numFmtId="0" xfId="0" applyBorder="1" applyFont="1"/>
    <xf borderId="0" fillId="0" fontId="15" numFmtId="0" xfId="0" applyAlignment="1" applyFont="1">
      <alignment vertical="center"/>
    </xf>
    <xf borderId="19" fillId="0" fontId="2" numFmtId="0" xfId="0" applyBorder="1" applyFont="1"/>
    <xf borderId="20" fillId="0" fontId="17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0" fillId="0" fontId="2" numFmtId="0" xfId="0" applyBorder="1" applyFont="1"/>
    <xf borderId="20" fillId="0" fontId="18" numFmtId="0" xfId="0" applyAlignment="1" applyBorder="1" applyFont="1">
      <alignment horizontal="center" vertical="center"/>
    </xf>
    <xf borderId="0" fillId="0" fontId="1" numFmtId="9" xfId="0" applyFont="1" applyNumberFormat="1"/>
    <xf borderId="23" fillId="3" fontId="15" numFmtId="0" xfId="0" applyAlignment="1" applyBorder="1" applyFill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5" numFmtId="0" xfId="0" applyAlignment="1" applyBorder="1" applyFill="1" applyFont="1">
      <alignment horizontal="left" vertical="center"/>
    </xf>
    <xf borderId="27" fillId="0" fontId="2" numFmtId="0" xfId="0" applyBorder="1" applyFont="1"/>
    <xf borderId="28" fillId="3" fontId="15" numFmtId="0" xfId="0" applyAlignment="1" applyBorder="1" applyFill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6" numFmtId="0" xfId="0" applyAlignment="1" applyBorder="1" applyFill="1" applyFont="1">
      <alignment horizontal="left" vertical="center"/>
    </xf>
    <xf borderId="32" fillId="0" fontId="2" numFmtId="0" xfId="0" applyBorder="1" applyFont="1"/>
    <xf borderId="31" fillId="3" fontId="15" numFmtId="0" xfId="0" applyAlignment="1" applyBorder="1" applyFill="1" applyFont="1">
      <alignment horizontal="left" vertical="center"/>
    </xf>
    <xf borderId="33" fillId="3" fontId="15" numFmtId="0" xfId="0" applyAlignment="1" applyBorder="1" applyFill="1" applyFont="1">
      <alignment horizontal="left" vertical="center"/>
    </xf>
    <xf borderId="34" fillId="0" fontId="2" numFmtId="0" xfId="0" applyBorder="1" applyFont="1"/>
    <xf borderId="35" fillId="3" fontId="16" numFmtId="0" xfId="0" applyAlignment="1" applyBorder="1" applyFill="1" applyFont="1">
      <alignment horizontal="left" vertical="center"/>
    </xf>
    <xf borderId="36" fillId="0" fontId="2" numFmtId="0" xfId="0" applyBorder="1" applyFont="1"/>
    <xf borderId="37" fillId="0" fontId="2" numFmtId="0" xfId="0" applyBorder="1" applyFont="1"/>
    <xf borderId="38" fillId="3" fontId="19" numFmtId="0" xfId="0" applyAlignment="1" applyBorder="1" applyFill="1" applyFont="1">
      <alignment horizontal="right" vertical="center"/>
    </xf>
    <xf borderId="39" fillId="0" fontId="2" numFmtId="0" xfId="0" applyBorder="1" applyFont="1"/>
    <xf borderId="40" fillId="3" fontId="16" numFmtId="2" xfId="0" applyAlignment="1" applyBorder="1" applyFill="1" applyFont="1" applyNumberFormat="1">
      <alignment horizontal="left" vertical="center"/>
    </xf>
    <xf borderId="41" fillId="0" fontId="2" numFmtId="0" xfId="0" applyBorder="1" applyFont="1"/>
    <xf borderId="16" fillId="7" fontId="19" numFmtId="0" xfId="0" applyAlignment="1" applyBorder="1" applyFill="1" applyFont="1">
      <alignment horizontal="center" shrinkToFit="0" vertical="center" wrapText="1"/>
    </xf>
    <xf borderId="42" fillId="0" fontId="2" numFmtId="0" xfId="0" applyBorder="1" applyFont="1"/>
    <xf borderId="43" fillId="7" fontId="19" numFmtId="0" xfId="0" applyAlignment="1" applyBorder="1" applyFill="1" applyFont="1">
      <alignment horizontal="center" shrinkToFit="0" textRotation="90" vertical="center" wrapText="1"/>
    </xf>
    <xf borderId="44" fillId="7" fontId="19" numFmtId="0" xfId="0" applyAlignment="1" applyBorder="1" applyFill="1" applyFont="1">
      <alignment horizontal="center" shrinkToFit="0" textRotation="90" vertical="center" wrapText="1"/>
    </xf>
    <xf borderId="45" fillId="8" fontId="1" numFmtId="0" xfId="0" applyAlignment="1" applyBorder="1" applyFill="1" applyFont="1">
      <alignment horizontal="center"/>
    </xf>
    <xf borderId="46" fillId="0" fontId="2" numFmtId="0" xfId="0" applyBorder="1" applyFont="1"/>
    <xf borderId="47" fillId="0" fontId="2" numFmtId="0" xfId="0" applyBorder="1" applyFont="1"/>
    <xf borderId="26" fillId="7" fontId="19" numFmtId="0" xfId="0" applyAlignment="1" applyBorder="1" applyFill="1" applyFont="1">
      <alignment horizontal="center" vertical="center"/>
    </xf>
    <xf borderId="0" fillId="0" fontId="20" numFmtId="0" xfId="0" applyFont="1"/>
    <xf borderId="48" fillId="0" fontId="2" numFmtId="0" xfId="0" applyBorder="1" applyFont="1"/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52" fillId="0" fontId="2" numFmtId="0" xfId="0" applyBorder="1" applyFont="1"/>
    <xf borderId="31" fillId="7" fontId="19" numFmtId="0" xfId="0" applyAlignment="1" applyBorder="1" applyFill="1" applyFont="1">
      <alignment horizontal="center" shrinkToFit="0" vertical="center" wrapText="1"/>
    </xf>
    <xf borderId="0" fillId="0" fontId="21" numFmtId="0" xfId="0" applyFont="1"/>
    <xf borderId="33" fillId="3" fontId="17" numFmtId="0" xfId="0" applyAlignment="1" applyBorder="1" applyFill="1" applyFont="1">
      <alignment horizontal="left" shrinkToFit="0" vertical="top" wrapText="1"/>
    </xf>
    <xf borderId="53" fillId="0" fontId="17" numFmtId="0" xfId="0" applyAlignment="1" applyBorder="1" applyFont="1">
      <alignment horizontal="center" shrinkToFit="0" vertical="center" wrapText="1"/>
    </xf>
    <xf borderId="54" fillId="3" fontId="17" numFmtId="0" xfId="0" applyAlignment="1" applyBorder="1" applyFill="1" applyFont="1">
      <alignment horizontal="left" shrinkToFit="0" vertical="top" wrapText="1"/>
    </xf>
    <xf borderId="53" fillId="3" fontId="17" numFmtId="1" xfId="0" applyAlignment="1" applyBorder="1" applyFill="1" applyFont="1" applyNumberFormat="1">
      <alignment horizontal="center" shrinkToFit="0" vertical="center" wrapText="1"/>
    </xf>
    <xf borderId="53" fillId="3" fontId="17" numFmtId="0" xfId="0" applyAlignment="1" applyBorder="1" applyFill="1" applyFont="1">
      <alignment horizontal="center" shrinkToFit="0" vertical="center" wrapText="1"/>
    </xf>
    <xf borderId="53" fillId="3" fontId="17" numFmtId="9" xfId="0" applyAlignment="1" applyBorder="1" applyFill="1" applyFont="1" applyNumberFormat="1">
      <alignment horizontal="center" shrinkToFit="0" vertical="center" wrapText="1"/>
    </xf>
    <xf borderId="54" fillId="0" fontId="19" numFmtId="0" xfId="0" applyAlignment="1" applyBorder="1" applyFont="1">
      <alignment horizontal="center" shrinkToFit="0" vertical="center" wrapText="1"/>
    </xf>
    <xf borderId="55" fillId="3" fontId="16" numFmtId="0" xfId="0" applyAlignment="1" applyBorder="1" applyFill="1" applyFont="1">
      <alignment horizontal="left" shrinkToFit="0" vertical="center" wrapText="1"/>
    </xf>
    <xf borderId="56" fillId="0" fontId="2" numFmtId="0" xfId="0" applyBorder="1" applyFont="1"/>
    <xf borderId="57" fillId="0" fontId="2" numFmtId="0" xfId="0" applyBorder="1" applyFont="1"/>
    <xf borderId="20" fillId="0" fontId="17" numFmtId="0" xfId="0" applyAlignment="1" applyBorder="1" applyFont="1">
      <alignment horizontal="left" shrinkToFit="0" vertical="center" wrapText="1"/>
    </xf>
    <xf borderId="55" fillId="3" fontId="16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right" vertical="center"/>
    </xf>
    <xf borderId="0" fillId="0" fontId="15" numFmtId="0" xfId="0" applyAlignment="1" applyFont="1">
      <alignment horizontal="center" vertical="center"/>
    </xf>
    <xf borderId="23" fillId="7" fontId="16" numFmtId="0" xfId="0" applyAlignment="1" applyBorder="1" applyFill="1" applyFont="1">
      <alignment horizontal="center" vertical="center"/>
    </xf>
    <xf borderId="0" fillId="0" fontId="15" numFmtId="9" xfId="0" applyAlignment="1" applyFont="1" applyNumberFormat="1">
      <alignment horizontal="center" vertical="center"/>
    </xf>
    <xf borderId="28" fillId="7" fontId="16" numFmtId="0" xfId="0" applyAlignment="1" applyBorder="1" applyFill="1" applyFont="1">
      <alignment horizontal="center" vertical="center"/>
    </xf>
    <xf borderId="58" fillId="7" fontId="16" numFmtId="0" xfId="0" applyAlignment="1" applyBorder="1" applyFill="1" applyFont="1">
      <alignment horizontal="center" vertical="center"/>
    </xf>
    <xf borderId="59" fillId="7" fontId="16" numFmtId="0" xfId="0" applyAlignment="1" applyBorder="1" applyFill="1" applyFont="1">
      <alignment horizontal="center" vertical="center"/>
    </xf>
    <xf borderId="28" fillId="0" fontId="15" numFmtId="0" xfId="0" applyAlignment="1" applyBorder="1" applyFont="1">
      <alignment horizontal="left" vertical="center"/>
    </xf>
    <xf borderId="58" fillId="0" fontId="15" numFmtId="164" xfId="0" applyAlignment="1" applyBorder="1" applyFont="1" applyNumberFormat="1">
      <alignment vertical="center"/>
    </xf>
    <xf borderId="58" fillId="0" fontId="15" numFmtId="3" xfId="0" applyAlignment="1" applyBorder="1" applyFont="1" applyNumberFormat="1">
      <alignment vertical="center"/>
    </xf>
    <xf borderId="58" fillId="0" fontId="15" numFmtId="9" xfId="0" applyAlignment="1" applyBorder="1" applyFont="1" applyNumberFormat="1">
      <alignment vertical="center"/>
    </xf>
    <xf borderId="59" fillId="3" fontId="16" numFmtId="164" xfId="0" applyAlignment="1" applyBorder="1" applyFill="1" applyFont="1" applyNumberFormat="1">
      <alignment vertical="center"/>
    </xf>
    <xf borderId="59" fillId="3" fontId="16" numFmtId="3" xfId="0" applyAlignment="1" applyBorder="1" applyFill="1" applyFont="1" applyNumberFormat="1">
      <alignment vertical="center"/>
    </xf>
    <xf borderId="28" fillId="9" fontId="19" numFmtId="0" xfId="0" applyAlignment="1" applyBorder="1" applyFill="1" applyFont="1">
      <alignment horizontal="left" vertical="center"/>
    </xf>
    <xf borderId="58" fillId="3" fontId="15" numFmtId="164" xfId="0" applyAlignment="1" applyBorder="1" applyFill="1" applyFont="1" applyNumberFormat="1">
      <alignment horizontal="right" vertical="center"/>
    </xf>
    <xf borderId="58" fillId="3" fontId="15" numFmtId="3" xfId="0" applyAlignment="1" applyBorder="1" applyFill="1" applyFont="1" applyNumberFormat="1">
      <alignment horizontal="right" vertical="center"/>
    </xf>
    <xf borderId="59" fillId="3" fontId="15" numFmtId="164" xfId="0" applyAlignment="1" applyBorder="1" applyFill="1" applyFont="1" applyNumberFormat="1">
      <alignment horizontal="right" vertical="center"/>
    </xf>
    <xf borderId="60" fillId="3" fontId="19" numFmtId="0" xfId="0" applyAlignment="1" applyBorder="1" applyFill="1" applyFont="1">
      <alignment horizontal="center" textRotation="90" vertical="center"/>
    </xf>
    <xf borderId="58" fillId="0" fontId="17" numFmtId="0" xfId="0" applyAlignment="1" applyBorder="1" applyFont="1">
      <alignment horizontal="left" shrinkToFit="0" vertical="center" wrapText="1"/>
    </xf>
    <xf borderId="58" fillId="0" fontId="17" numFmtId="3" xfId="0" applyAlignment="1" applyBorder="1" applyFont="1" applyNumberFormat="1">
      <alignment vertical="center"/>
    </xf>
    <xf borderId="59" fillId="3" fontId="15" numFmtId="3" xfId="0" applyAlignment="1" applyBorder="1" applyFill="1" applyFont="1" applyNumberFormat="1">
      <alignment horizontal="right" vertical="center"/>
    </xf>
    <xf borderId="59" fillId="3" fontId="15" numFmtId="3" xfId="0" applyAlignment="1" applyBorder="1" applyFill="1" applyFont="1" applyNumberFormat="1">
      <alignment vertical="center"/>
    </xf>
    <xf borderId="61" fillId="0" fontId="2" numFmtId="0" xfId="0" applyBorder="1" applyFont="1"/>
    <xf borderId="59" fillId="3" fontId="17" numFmtId="3" xfId="0" applyAlignment="1" applyBorder="1" applyFill="1" applyFont="1" applyNumberFormat="1">
      <alignment vertical="center"/>
    </xf>
    <xf borderId="58" fillId="0" fontId="17" numFmtId="0" xfId="0" applyAlignment="1" applyBorder="1" applyFont="1">
      <alignment horizontal="left" shrinkToFit="0" vertical="top" wrapText="1"/>
    </xf>
    <xf borderId="58" fillId="0" fontId="15" numFmtId="0" xfId="0" applyAlignment="1" applyBorder="1" applyFont="1">
      <alignment vertical="center"/>
    </xf>
    <xf borderId="62" fillId="0" fontId="2" numFmtId="0" xfId="0" applyBorder="1" applyFont="1"/>
    <xf borderId="53" fillId="0" fontId="17" numFmtId="0" xfId="0" applyAlignment="1" applyBorder="1" applyFont="1">
      <alignment horizontal="left" shrinkToFit="0" vertical="top" wrapText="1"/>
    </xf>
    <xf borderId="53" fillId="0" fontId="15" numFmtId="3" xfId="0" applyAlignment="1" applyBorder="1" applyFont="1" applyNumberFormat="1">
      <alignment vertical="center"/>
    </xf>
    <xf borderId="53" fillId="0" fontId="15" numFmtId="0" xfId="0" applyAlignment="1" applyBorder="1" applyFont="1">
      <alignment vertical="center"/>
    </xf>
    <xf borderId="63" fillId="3" fontId="15" numFmtId="3" xfId="0" applyAlignment="1" applyBorder="1" applyFill="1" applyFont="1" applyNumberFormat="1">
      <alignment vertical="center"/>
    </xf>
    <xf borderId="16" fillId="3" fontId="16" numFmtId="0" xfId="0" applyAlignment="1" applyBorder="1" applyFill="1" applyFont="1">
      <alignment horizontal="center" shrinkToFit="0" vertical="center" wrapText="1"/>
    </xf>
    <xf borderId="59" fillId="3" fontId="15" numFmtId="0" xfId="0" applyAlignment="1" applyBorder="1" applyFill="1" applyFont="1">
      <alignment vertical="center"/>
    </xf>
    <xf borderId="53" fillId="0" fontId="17" numFmtId="0" xfId="0" applyAlignment="1" applyBorder="1" applyFont="1">
      <alignment horizontal="left" shrinkToFit="0" vertical="center" wrapText="1"/>
    </xf>
    <xf borderId="64" fillId="3" fontId="16" numFmtId="9" xfId="0" applyAlignment="1" applyBorder="1" applyFill="1" applyFont="1" applyNumberFormat="1">
      <alignment horizontal="center" shrinkToFit="0" vertical="center" wrapText="1"/>
    </xf>
    <xf borderId="65" fillId="0" fontId="2" numFmtId="0" xfId="0" applyBorder="1" applyFont="1"/>
    <xf borderId="66" fillId="0" fontId="2" numFmtId="0" xfId="0" applyBorder="1" applyFont="1"/>
    <xf borderId="63" fillId="3" fontId="15" numFmtId="0" xfId="0" applyAlignment="1" applyBorder="1" applyFill="1" applyFont="1">
      <alignment vertical="center"/>
    </xf>
    <xf borderId="67" fillId="0" fontId="2" numFmtId="0" xfId="0" applyBorder="1" applyFont="1"/>
    <xf borderId="64" fillId="3" fontId="16" numFmtId="9" xfId="0" applyAlignment="1" applyBorder="1" applyFill="1" applyFont="1" applyNumberFormat="1">
      <alignment horizontal="center" vertical="center"/>
    </xf>
    <xf borderId="68" fillId="4" fontId="16" numFmtId="0" xfId="0" applyAlignment="1" applyBorder="1" applyFill="1" applyFont="1">
      <alignment horizontal="center" vertical="center"/>
    </xf>
    <xf borderId="69" fillId="0" fontId="2" numFmtId="0" xfId="0" applyBorder="1" applyFont="1"/>
    <xf borderId="70" fillId="0" fontId="2" numFmtId="0" xfId="0" applyBorder="1" applyFont="1"/>
    <xf borderId="68" fillId="5" fontId="16" numFmtId="0" xfId="0" applyAlignment="1" applyBorder="1" applyFill="1" applyFont="1">
      <alignment horizontal="center" vertical="center"/>
    </xf>
    <xf borderId="68" fillId="6" fontId="16" numFmtId="0" xfId="0" applyAlignment="1" applyBorder="1" applyFill="1" applyFont="1">
      <alignment horizontal="center" vertical="center"/>
    </xf>
    <xf borderId="71" fillId="0" fontId="2" numFmtId="0" xfId="0" applyBorder="1" applyFont="1"/>
    <xf borderId="72" fillId="3" fontId="16" numFmtId="0" xfId="0" applyAlignment="1" applyBorder="1" applyFill="1" applyFont="1">
      <alignment horizontal="center" vertical="center"/>
    </xf>
    <xf borderId="55" fillId="3" fontId="15" numFmtId="0" xfId="0" applyAlignment="1" applyBorder="1" applyFill="1" applyFont="1">
      <alignment horizontal="center" vertical="center"/>
    </xf>
    <xf borderId="64" fillId="3" fontId="15" numFmtId="0" xfId="0" applyAlignment="1" applyBorder="1" applyFill="1" applyFont="1">
      <alignment horizontal="center" vertical="center"/>
    </xf>
    <xf borderId="23" fillId="3" fontId="22" numFmtId="0" xfId="0" applyAlignment="1" applyBorder="1" applyFill="1" applyFont="1">
      <alignment horizontal="left" vertical="center"/>
    </xf>
    <xf borderId="26" fillId="3" fontId="23" numFmtId="0" xfId="0" applyAlignment="1" applyBorder="1" applyFill="1" applyFont="1">
      <alignment horizontal="center" vertical="center"/>
    </xf>
    <xf borderId="28" fillId="0" fontId="17" numFmtId="0" xfId="0" applyAlignment="1" applyBorder="1" applyFont="1">
      <alignment horizontal="left" readingOrder="0" shrinkToFit="0" vertical="top" wrapText="1"/>
    </xf>
    <xf borderId="31" fillId="0" fontId="17" numFmtId="17" xfId="0" applyAlignment="1" applyBorder="1" applyFont="1" applyNumberFormat="1">
      <alignment horizontal="center" shrinkToFit="0" vertical="center" wrapText="1"/>
    </xf>
    <xf borderId="28" fillId="0" fontId="17" numFmtId="0" xfId="0" applyAlignment="1" applyBorder="1" applyFont="1">
      <alignment horizontal="left" shrinkToFit="0" vertical="top" wrapText="1"/>
    </xf>
    <xf borderId="33" fillId="0" fontId="17" numFmtId="0" xfId="0" applyAlignment="1" applyBorder="1" applyFont="1">
      <alignment horizontal="left" shrinkToFit="0" vertical="top" wrapText="1"/>
    </xf>
    <xf borderId="54" fillId="0" fontId="17" numFmtId="0" xfId="0" applyAlignment="1" applyBorder="1" applyFont="1">
      <alignment horizontal="left" shrinkToFit="0" vertical="top" wrapText="1"/>
    </xf>
    <xf borderId="73" fillId="8" fontId="15" numFmtId="0" xfId="0" applyAlignment="1" applyBorder="1" applyFill="1" applyFont="1">
      <alignment horizontal="center" vertical="center"/>
    </xf>
    <xf borderId="74" fillId="0" fontId="2" numFmtId="0" xfId="0" applyBorder="1" applyFont="1"/>
    <xf borderId="31" fillId="0" fontId="17" numFmtId="17" xfId="0" applyAlignment="1" applyBorder="1" applyFont="1" applyNumberFormat="1">
      <alignment horizontal="center" shrinkToFit="0" vertical="top" wrapText="1"/>
    </xf>
    <xf borderId="58" fillId="0" fontId="16" numFmtId="3" xfId="0" applyAlignment="1" applyBorder="1" applyFont="1" applyNumberFormat="1">
      <alignment vertical="center"/>
    </xf>
    <xf borderId="58" fillId="0" fontId="16" numFmtId="164" xfId="0" applyAlignment="1" applyBorder="1" applyFont="1" applyNumberFormat="1">
      <alignment vertical="center"/>
    </xf>
    <xf borderId="58" fillId="0" fontId="16" numFmtId="9" xfId="0" applyAlignment="1" applyBorder="1" applyFont="1" applyNumberFormat="1">
      <alignment vertical="center"/>
    </xf>
    <xf borderId="53" fillId="3" fontId="17" numFmtId="165" xfId="0" applyAlignment="1" applyBorder="1" applyFill="1" applyFont="1" applyNumberFormat="1">
      <alignment horizontal="center" shrinkToFit="0" vertical="center" wrapText="1"/>
    </xf>
    <xf borderId="59" fillId="3" fontId="19" numFmtId="164" xfId="0" applyAlignment="1" applyBorder="1" applyFill="1" applyFont="1" applyNumberFormat="1">
      <alignment vertical="center"/>
    </xf>
    <xf borderId="75" fillId="3" fontId="16" numFmtId="0" xfId="0" applyAlignment="1" applyBorder="1" applyFill="1" applyFont="1">
      <alignment horizontal="left" vertical="center"/>
    </xf>
    <xf borderId="76" fillId="0" fontId="2" numFmtId="0" xfId="0" applyBorder="1" applyFont="1"/>
    <xf borderId="77" fillId="0" fontId="2" numFmtId="0" xfId="0" applyBorder="1" applyFont="1"/>
    <xf borderId="59" fillId="3" fontId="16" numFmtId="9" xfId="0" applyAlignment="1" applyBorder="1" applyFill="1" applyFont="1" applyNumberFormat="1">
      <alignment vertical="center"/>
    </xf>
    <xf borderId="58" fillId="0" fontId="15" numFmtId="166" xfId="0" applyAlignment="1" applyBorder="1" applyFont="1" applyNumberFormat="1">
      <alignment vertical="center"/>
    </xf>
    <xf borderId="53" fillId="3" fontId="17" numFmtId="164" xfId="0" applyAlignment="1" applyBorder="1" applyFill="1" applyFont="1" applyNumberFormat="1">
      <alignment horizontal="center" shrinkToFit="0" vertical="center" wrapText="1"/>
    </xf>
    <xf borderId="64" fillId="3" fontId="16" numFmtId="1" xfId="0" applyAlignment="1" applyBorder="1" applyFill="1" applyFont="1" applyNumberFormat="1">
      <alignment horizontal="center" vertical="center"/>
    </xf>
    <xf borderId="59" fillId="3" fontId="16" numFmtId="9" xfId="0" applyAlignment="1" applyBorder="1" applyFill="1" applyFont="1" applyNumberFormat="1">
      <alignment horizontal="center" vertical="center"/>
    </xf>
    <xf borderId="58" fillId="0" fontId="15" numFmtId="167" xfId="0" applyAlignment="1" applyBorder="1" applyFont="1" applyNumberFormat="1">
      <alignment vertical="center"/>
    </xf>
    <xf borderId="58" fillId="0" fontId="15" numFmtId="4" xfId="0" applyAlignment="1" applyBorder="1" applyFont="1" applyNumberFormat="1">
      <alignment vertical="center"/>
    </xf>
    <xf borderId="78" fillId="0" fontId="17" numFmtId="0" xfId="0" applyAlignment="1" applyBorder="1" applyFont="1">
      <alignment horizontal="left" shrinkToFit="0" vertical="top" wrapText="1"/>
    </xf>
    <xf borderId="78" fillId="0" fontId="15" numFmtId="168" xfId="0" applyAlignment="1" applyBorder="1" applyFont="1" applyNumberFormat="1">
      <alignment horizontal="center" vertical="center"/>
    </xf>
    <xf borderId="78" fillId="0" fontId="15" numFmtId="168" xfId="0" applyAlignment="1" applyBorder="1" applyFont="1" applyNumberFormat="1">
      <alignment vertical="center"/>
    </xf>
    <xf borderId="79" fillId="3" fontId="15" numFmtId="168" xfId="0" applyAlignment="1" applyBorder="1" applyFill="1" applyFont="1" applyNumberFormat="1">
      <alignment vertical="center"/>
    </xf>
    <xf borderId="58" fillId="0" fontId="19" numFmtId="164" xfId="0" applyAlignment="1" applyBorder="1" applyFont="1" applyNumberFormat="1">
      <alignment vertical="center"/>
    </xf>
    <xf borderId="58" fillId="0" fontId="15" numFmtId="10" xfId="0" applyAlignment="1" applyBorder="1" applyFont="1" applyNumberFormat="1">
      <alignment vertical="center"/>
    </xf>
    <xf borderId="59" fillId="3" fontId="15" numFmtId="10" xfId="0" applyAlignment="1" applyBorder="1" applyFill="1" applyFont="1" applyNumberFormat="1">
      <alignment vertical="center"/>
    </xf>
    <xf borderId="59" fillId="3" fontId="15" numFmtId="4" xfId="0" applyAlignment="1" applyBorder="1" applyFill="1" applyFont="1" applyNumberFormat="1">
      <alignment vertical="center"/>
    </xf>
    <xf borderId="58" fillId="0" fontId="16" numFmtId="9" xfId="0" applyAlignment="1" applyBorder="1" applyFont="1" applyNumberFormat="1">
      <alignment horizontal="right" vertical="center"/>
    </xf>
    <xf borderId="58" fillId="3" fontId="15" numFmtId="164" xfId="0" applyAlignment="1" applyBorder="1" applyFill="1" applyFont="1" applyNumberFormat="1">
      <alignment horizontal="center" vertical="center"/>
    </xf>
    <xf borderId="59" fillId="3" fontId="15" numFmtId="164" xfId="0" applyAlignment="1" applyBorder="1" applyFill="1" applyFont="1" applyNumberFormat="1">
      <alignment horizontal="center" vertical="center"/>
    </xf>
    <xf borderId="58" fillId="0" fontId="15" numFmtId="2" xfId="0" applyAlignment="1" applyBorder="1" applyFont="1" applyNumberFormat="1">
      <alignment horizontal="center" vertical="center"/>
    </xf>
    <xf borderId="59" fillId="3" fontId="15" numFmtId="2" xfId="0" applyAlignment="1" applyBorder="1" applyFill="1" applyFont="1" applyNumberFormat="1">
      <alignment vertical="center"/>
    </xf>
    <xf borderId="0" fillId="0" fontId="7" numFmtId="0" xfId="0" applyAlignment="1" applyFont="1">
      <alignment horizontal="left"/>
    </xf>
    <xf borderId="0" fillId="0" fontId="24" numFmtId="0" xfId="0" applyAlignment="1" applyFont="1">
      <alignment horizontal="left"/>
    </xf>
    <xf borderId="0" fillId="0" fontId="9" numFmtId="0" xfId="0" applyFont="1"/>
    <xf borderId="49" fillId="0" fontId="25" numFmtId="0" xfId="0" applyAlignment="1" applyBorder="1" applyFont="1">
      <alignment horizontal="center"/>
    </xf>
    <xf borderId="0" fillId="0" fontId="13" numFmtId="0" xfId="0" applyFont="1"/>
    <xf borderId="0" fillId="0" fontId="13" numFmtId="0" xfId="0" applyAlignment="1" applyFont="1">
      <alignment shrinkToFit="0" wrapText="1"/>
    </xf>
    <xf borderId="0" fillId="0" fontId="21" numFmtId="166" xfId="0" applyFont="1" applyNumberFormat="1"/>
    <xf borderId="0" fillId="0" fontId="21" numFmtId="0" xfId="0" applyAlignment="1" applyFont="1">
      <alignment shrinkToFit="0" vertical="center" wrapText="1"/>
    </xf>
    <xf borderId="31" fillId="10" fontId="9" numFmtId="0" xfId="0" applyAlignment="1" applyBorder="1" applyFill="1" applyFont="1">
      <alignment horizontal="center" vertical="center"/>
    </xf>
    <xf borderId="58" fillId="10" fontId="9" numFmtId="0" xfId="0" applyAlignment="1" applyBorder="1" applyFill="1" applyFont="1">
      <alignment horizontal="center" vertical="center"/>
    </xf>
    <xf borderId="58" fillId="10" fontId="7" numFmtId="17" xfId="0" applyAlignment="1" applyBorder="1" applyFill="1" applyFont="1" applyNumberFormat="1">
      <alignment horizontal="center" vertical="center"/>
    </xf>
    <xf borderId="58" fillId="0" fontId="13" numFmtId="0" xfId="0" applyAlignment="1" applyBorder="1" applyFont="1">
      <alignment horizontal="right" vertical="center"/>
    </xf>
    <xf borderId="58" fillId="0" fontId="13" numFmtId="0" xfId="0" applyAlignment="1" applyBorder="1" applyFont="1">
      <alignment shrinkToFit="0" vertical="center" wrapText="1"/>
    </xf>
    <xf borderId="58" fillId="0" fontId="13" numFmtId="0" xfId="0" applyAlignment="1" applyBorder="1" applyFont="1">
      <alignment horizontal="center" vertical="center"/>
    </xf>
    <xf borderId="58" fillId="0" fontId="26" numFmtId="166" xfId="0" applyAlignment="1" applyBorder="1" applyFont="1" applyNumberFormat="1">
      <alignment vertical="center"/>
    </xf>
    <xf borderId="58" fillId="0" fontId="21" numFmtId="166" xfId="0" applyAlignment="1" applyBorder="1" applyFont="1" applyNumberFormat="1">
      <alignment vertical="center"/>
    </xf>
    <xf borderId="58" fillId="0" fontId="21" numFmtId="0" xfId="0" applyAlignment="1" applyBorder="1" applyFont="1">
      <alignment shrinkToFit="0" vertical="center" wrapText="1"/>
    </xf>
    <xf borderId="58" fillId="11" fontId="13" numFmtId="0" xfId="0" applyAlignment="1" applyBorder="1" applyFill="1" applyFont="1">
      <alignment horizontal="right" vertical="center"/>
    </xf>
    <xf borderId="58" fillId="11" fontId="13" numFmtId="0" xfId="0" applyAlignment="1" applyBorder="1" applyFill="1" applyFont="1">
      <alignment shrinkToFit="0" vertical="center" wrapText="1"/>
    </xf>
    <xf borderId="58" fillId="11" fontId="13" numFmtId="0" xfId="0" applyAlignment="1" applyBorder="1" applyFill="1" applyFont="1">
      <alignment horizontal="center" vertical="center"/>
    </xf>
    <xf borderId="58" fillId="11" fontId="26" numFmtId="166" xfId="0" applyAlignment="1" applyBorder="1" applyFill="1" applyFont="1" applyNumberFormat="1">
      <alignment vertical="center"/>
    </xf>
    <xf borderId="58" fillId="11" fontId="21" numFmtId="166" xfId="0" applyAlignment="1" applyBorder="1" applyFill="1" applyFont="1" applyNumberFormat="1">
      <alignment vertical="center"/>
    </xf>
    <xf borderId="58" fillId="11" fontId="21" numFmtId="166" xfId="0" applyBorder="1" applyFill="1" applyFont="1" applyNumberFormat="1"/>
    <xf borderId="0" fillId="0" fontId="21" numFmtId="166" xfId="0" applyAlignment="1" applyFont="1" applyNumberFormat="1">
      <alignment shrinkToFit="0" vertical="center" wrapText="1"/>
    </xf>
    <xf borderId="58" fillId="12" fontId="13" numFmtId="0" xfId="0" applyAlignment="1" applyBorder="1" applyFill="1" applyFont="1">
      <alignment horizontal="right" vertical="center"/>
    </xf>
    <xf borderId="58" fillId="12" fontId="13" numFmtId="0" xfId="0" applyAlignment="1" applyBorder="1" applyFill="1" applyFont="1">
      <alignment shrinkToFit="0" vertical="center" wrapText="1"/>
    </xf>
    <xf borderId="58" fillId="12" fontId="13" numFmtId="0" xfId="0" applyAlignment="1" applyBorder="1" applyFill="1" applyFont="1">
      <alignment horizontal="center" vertical="center"/>
    </xf>
    <xf borderId="58" fillId="13" fontId="1" numFmtId="169" xfId="0" applyBorder="1" applyFill="1" applyFont="1" applyNumberFormat="1"/>
    <xf borderId="58" fillId="12" fontId="1" numFmtId="169" xfId="0" applyBorder="1" applyFill="1" applyFont="1" applyNumberFormat="1"/>
    <xf borderId="58" fillId="12" fontId="27" numFmtId="166" xfId="0" applyAlignment="1" applyBorder="1" applyFill="1" applyFont="1" applyNumberFormat="1">
      <alignment vertical="center"/>
    </xf>
    <xf borderId="80" fillId="12" fontId="21" numFmtId="169" xfId="0" applyBorder="1" applyFill="1" applyFont="1" applyNumberFormat="1"/>
    <xf borderId="80" fillId="12" fontId="26" numFmtId="169" xfId="0" applyBorder="1" applyFill="1" applyFont="1" applyNumberFormat="1"/>
    <xf borderId="80" fillId="12" fontId="1" numFmtId="169" xfId="0" applyBorder="1" applyFill="1" applyFont="1" applyNumberFormat="1"/>
    <xf borderId="80" fillId="12" fontId="21" numFmtId="0" xfId="0" applyBorder="1" applyFill="1" applyFont="1"/>
    <xf borderId="80" fillId="12" fontId="26" numFmtId="166" xfId="0" applyAlignment="1" applyBorder="1" applyFill="1" applyFont="1" applyNumberFormat="1">
      <alignment vertical="center"/>
    </xf>
    <xf borderId="80" fillId="12" fontId="21" numFmtId="166" xfId="0" applyAlignment="1" applyBorder="1" applyFill="1" applyFont="1" applyNumberFormat="1">
      <alignment vertical="center"/>
    </xf>
    <xf borderId="0" fillId="0" fontId="1" numFmtId="167" xfId="0" applyFont="1" applyNumberFormat="1"/>
    <xf borderId="58" fillId="0" fontId="28" numFmtId="166" xfId="0" applyAlignment="1" applyBorder="1" applyFont="1" applyNumberFormat="1">
      <alignment vertical="center"/>
    </xf>
    <xf borderId="0" fillId="0" fontId="28" numFmtId="167" xfId="0" applyFont="1" applyNumberFormat="1"/>
    <xf borderId="0" fillId="0" fontId="28" numFmtId="0" xfId="0" applyFont="1"/>
    <xf borderId="58" fillId="11" fontId="21" numFmtId="167" xfId="0" applyBorder="1" applyFill="1" applyFont="1" applyNumberFormat="1"/>
    <xf borderId="0" fillId="0" fontId="21" numFmtId="167" xfId="0" applyFont="1" applyNumberFormat="1"/>
    <xf borderId="58" fillId="14" fontId="21" numFmtId="166" xfId="0" applyAlignment="1" applyBorder="1" applyFill="1" applyFont="1" applyNumberFormat="1">
      <alignment vertical="center"/>
    </xf>
    <xf borderId="58" fillId="0" fontId="9" numFmtId="0" xfId="0" applyAlignment="1" applyBorder="1" applyFont="1">
      <alignment horizontal="right" vertical="center"/>
    </xf>
    <xf borderId="58" fillId="11" fontId="9" numFmtId="0" xfId="0" applyAlignment="1" applyBorder="1" applyFill="1" applyFont="1">
      <alignment shrinkToFit="0" vertical="center" wrapText="1"/>
    </xf>
    <xf borderId="58" fillId="11" fontId="9" numFmtId="0" xfId="0" applyAlignment="1" applyBorder="1" applyFill="1" applyFont="1">
      <alignment horizontal="center" vertical="center"/>
    </xf>
    <xf borderId="58" fillId="14" fontId="7" numFmtId="166" xfId="0" applyAlignment="1" applyBorder="1" applyFill="1" applyFont="1" applyNumberFormat="1">
      <alignment vertical="center"/>
    </xf>
    <xf borderId="0" fillId="0" fontId="7" numFmtId="166" xfId="0" applyFont="1" applyNumberFormat="1"/>
    <xf borderId="0" fillId="0" fontId="7" numFmtId="0" xfId="0" applyFont="1"/>
    <xf borderId="58" fillId="0" fontId="9" numFmtId="0" xfId="0" applyAlignment="1" applyBorder="1" applyFont="1">
      <alignment shrinkToFit="0" vertical="center" wrapText="1"/>
    </xf>
    <xf borderId="58" fillId="0" fontId="9" numFmtId="0" xfId="0" applyAlignment="1" applyBorder="1" applyFont="1">
      <alignment horizontal="center" vertical="center"/>
    </xf>
    <xf borderId="58" fillId="11" fontId="21" numFmtId="0" xfId="0" applyAlignment="1" applyBorder="1" applyFill="1" applyFont="1">
      <alignment horizontal="center" vertical="center"/>
    </xf>
    <xf borderId="58" fillId="0" fontId="21" numFmtId="0" xfId="0" applyAlignment="1" applyBorder="1" applyFont="1">
      <alignment horizontal="center" vertical="center"/>
    </xf>
    <xf borderId="78" fillId="0" fontId="21" numFmtId="0" xfId="0" applyAlignment="1" applyBorder="1" applyFont="1">
      <alignment horizontal="center" vertical="center"/>
    </xf>
    <xf borderId="78" fillId="0" fontId="21" numFmtId="166" xfId="0" applyAlignment="1" applyBorder="1" applyFont="1" applyNumberFormat="1">
      <alignment horizontal="center" vertical="center"/>
    </xf>
    <xf borderId="58" fillId="12" fontId="29" numFmtId="0" xfId="0" applyAlignment="1" applyBorder="1" applyFill="1" applyFont="1">
      <alignment horizontal="center" shrinkToFit="0" vertical="center" wrapText="1"/>
    </xf>
    <xf borderId="58" fillId="0" fontId="21" numFmtId="167" xfId="0" applyAlignment="1" applyBorder="1" applyFont="1" applyNumberFormat="1">
      <alignment horizontal="center" vertical="center"/>
    </xf>
    <xf borderId="81" fillId="14" fontId="21" numFmtId="166" xfId="0" applyAlignment="1" applyBorder="1" applyFill="1" applyFont="1" applyNumberFormat="1">
      <alignment horizontal="center" vertical="center"/>
    </xf>
    <xf borderId="58" fillId="11" fontId="21" numFmtId="166" xfId="0" applyAlignment="1" applyBorder="1" applyFill="1" applyFont="1" applyNumberFormat="1">
      <alignment horizontal="center" vertical="center"/>
    </xf>
    <xf borderId="0" fillId="0" fontId="13" numFmtId="0" xfId="0" applyAlignment="1" applyFont="1">
      <alignment horizontal="right"/>
    </xf>
    <xf borderId="0" fillId="0" fontId="13" numFmtId="0" xfId="0" applyAlignment="1" applyFont="1">
      <alignment horizontal="center"/>
    </xf>
    <xf borderId="0" fillId="0" fontId="21" numFmtId="167" xfId="0" applyAlignment="1" applyFont="1" applyNumberFormat="1">
      <alignment horizontal="center"/>
    </xf>
    <xf borderId="0" fillId="0" fontId="21" numFmtId="0" xfId="0" applyAlignment="1" applyFont="1">
      <alignment horizontal="center"/>
    </xf>
    <xf borderId="58" fillId="15" fontId="21" numFmtId="17" xfId="0" applyAlignment="1" applyBorder="1" applyFill="1" applyFont="1" applyNumberFormat="1">
      <alignment horizontal="center" vertical="center"/>
    </xf>
    <xf borderId="58" fillId="11" fontId="13" numFmtId="166" xfId="0" applyAlignment="1" applyBorder="1" applyFill="1" applyFont="1" applyNumberFormat="1">
      <alignment horizontal="center" vertical="center"/>
    </xf>
    <xf borderId="58" fillId="14" fontId="26" numFmtId="166" xfId="0" applyAlignment="1" applyBorder="1" applyFill="1" applyFont="1" applyNumberFormat="1">
      <alignment horizontal="center" vertical="center"/>
    </xf>
    <xf borderId="58" fillId="14" fontId="21" numFmtId="166" xfId="0" applyAlignment="1" applyBorder="1" applyFill="1" applyFont="1" applyNumberFormat="1">
      <alignment horizontal="center" vertical="center"/>
    </xf>
    <xf borderId="58" fillId="0" fontId="13" numFmtId="166" xfId="0" applyAlignment="1" applyBorder="1" applyFont="1" applyNumberFormat="1">
      <alignment horizontal="center" vertical="center"/>
    </xf>
    <xf borderId="58" fillId="14" fontId="27" numFmtId="164" xfId="0" applyAlignment="1" applyBorder="1" applyFill="1" applyFont="1" applyNumberFormat="1">
      <alignment horizontal="center" vertical="center"/>
    </xf>
    <xf borderId="81" fillId="11" fontId="13" numFmtId="0" xfId="0" applyAlignment="1" applyBorder="1" applyFill="1" applyFont="1">
      <alignment shrinkToFit="0" vertical="center" wrapText="1"/>
    </xf>
    <xf borderId="81" fillId="11" fontId="13" numFmtId="0" xfId="0" applyAlignment="1" applyBorder="1" applyFill="1" applyFont="1">
      <alignment horizontal="center" vertical="center"/>
    </xf>
    <xf borderId="0" fillId="0" fontId="27" numFmtId="164" xfId="0" applyAlignment="1" applyFont="1" applyNumberFormat="1">
      <alignment horizontal="center"/>
    </xf>
    <xf borderId="0" fillId="0" fontId="21" numFmtId="166" xfId="0" applyAlignment="1" applyFont="1" applyNumberFormat="1">
      <alignment horizontal="center"/>
    </xf>
    <xf borderId="82" fillId="10" fontId="9" numFmtId="0" xfId="0" applyBorder="1" applyFill="1" applyFont="1"/>
    <xf borderId="83" fillId="10" fontId="9" numFmtId="0" xfId="0" applyAlignment="1" applyBorder="1" applyFill="1" applyFont="1">
      <alignment shrinkToFit="0" vertical="center" wrapText="1"/>
    </xf>
    <xf borderId="58" fillId="0" fontId="13" numFmtId="0" xfId="0" applyAlignment="1" applyBorder="1" applyFont="1">
      <alignment horizontal="center"/>
    </xf>
    <xf borderId="58" fillId="14" fontId="21" numFmtId="10" xfId="0" applyAlignment="1" applyBorder="1" applyFill="1" applyFont="1" applyNumberFormat="1">
      <alignment horizontal="center" vertical="center"/>
    </xf>
    <xf borderId="0" fillId="0" fontId="21" numFmtId="10" xfId="0" applyFont="1" applyNumberFormat="1"/>
    <xf borderId="58" fillId="11" fontId="13" numFmtId="0" xfId="0" applyAlignment="1" applyBorder="1" applyFill="1" applyFont="1">
      <alignment horizontal="center"/>
    </xf>
    <xf borderId="58" fillId="11" fontId="21" numFmtId="10" xfId="0" applyAlignment="1" applyBorder="1" applyFill="1" applyFont="1" applyNumberFormat="1">
      <alignment horizontal="center" vertical="center"/>
    </xf>
    <xf borderId="58" fillId="0" fontId="13" numFmtId="0" xfId="0" applyAlignment="1" applyBorder="1" applyFont="1">
      <alignment horizontal="right"/>
    </xf>
    <xf borderId="58" fillId="16" fontId="21" numFmtId="170" xfId="0" applyAlignment="1" applyBorder="1" applyFill="1" applyFont="1" applyNumberFormat="1">
      <alignment horizontal="center" vertical="center"/>
    </xf>
    <xf borderId="58" fillId="11" fontId="13" numFmtId="0" xfId="0" applyAlignment="1" applyBorder="1" applyFill="1" applyFont="1">
      <alignment horizontal="right"/>
    </xf>
    <xf borderId="58" fillId="16" fontId="21" numFmtId="166" xfId="0" applyAlignment="1" applyBorder="1" applyFill="1" applyFont="1" applyNumberFormat="1">
      <alignment horizontal="center" vertical="center"/>
    </xf>
    <xf borderId="0" fillId="0" fontId="9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13" numFmtId="166" xfId="0" applyFont="1" applyNumberFormat="1"/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'01'!$C$19:$N$19</c:f>
              <c:numCache/>
            </c:numRef>
          </c:val>
          <c:smooth val="0"/>
        </c:ser>
        <c:axId val="213905978"/>
        <c:axId val="1261052742"/>
      </c:lineChart>
      <c:catAx>
        <c:axId val="2139059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61052742"/>
      </c:catAx>
      <c:valAx>
        <c:axId val="12610527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3905978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'10'!$C$19:$N$19</c:f>
              <c:numCache/>
            </c:numRef>
          </c:val>
          <c:smooth val="0"/>
        </c:ser>
        <c:axId val="1222954001"/>
        <c:axId val="2140380158"/>
      </c:lineChart>
      <c:catAx>
        <c:axId val="1222954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40380158"/>
      </c:catAx>
      <c:valAx>
        <c:axId val="21403801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22954001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'11'!$C$16:$N$16</c:f>
            </c:strRef>
          </c:cat>
          <c:val>
            <c:numRef>
              <c:f>'11'!$C$18:$N$18</c:f>
              <c:numCache/>
            </c:numRef>
          </c:val>
          <c:smooth val="0"/>
        </c:ser>
        <c:axId val="126900865"/>
        <c:axId val="758024442"/>
      </c:lineChart>
      <c:catAx>
        <c:axId val="1269008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58024442"/>
      </c:catAx>
      <c:valAx>
        <c:axId val="7580244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6900865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'12'!$C$16:$N$16</c:f>
            </c:strRef>
          </c:cat>
          <c:val>
            <c:numRef>
              <c:f>'12'!$C$18:$N$18</c:f>
              <c:numCache/>
            </c:numRef>
          </c:val>
          <c:smooth val="0"/>
        </c:ser>
        <c:axId val="352755524"/>
        <c:axId val="543939204"/>
      </c:lineChart>
      <c:catAx>
        <c:axId val="3527555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43939204"/>
      </c:catAx>
      <c:valAx>
        <c:axId val="5439392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52755524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'13'!$C$16:$N$16</c:f>
            </c:strRef>
          </c:cat>
          <c:val>
            <c:numRef>
              <c:f>'13'!$C$18:$N$18</c:f>
              <c:numCache/>
            </c:numRef>
          </c:val>
          <c:smooth val="0"/>
        </c:ser>
        <c:axId val="1849223757"/>
        <c:axId val="1159107757"/>
      </c:lineChart>
      <c:catAx>
        <c:axId val="18492237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59107757"/>
      </c:catAx>
      <c:valAx>
        <c:axId val="11591077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4922375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'14'!$C$16:$N$16</c:f>
            </c:strRef>
          </c:cat>
          <c:val>
            <c:numRef>
              <c:f>'14'!$C$18:$N$18</c:f>
              <c:numCache/>
            </c:numRef>
          </c:val>
          <c:smooth val="0"/>
        </c:ser>
        <c:axId val="1981700828"/>
        <c:axId val="1991209675"/>
      </c:lineChart>
      <c:catAx>
        <c:axId val="19817008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91209675"/>
      </c:catAx>
      <c:valAx>
        <c:axId val="19912096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81700828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07656255841259646"/>
          <c:y val="0.01049871457388701"/>
          <c:w val="0.9171881997590453"/>
          <c:h val="0.8582699164152636"/>
        </c:manualLayout>
      </c:layout>
      <c:bar3DChart>
        <c:barDir val="col"/>
        <c:grouping val="clustered"/>
        <c:ser>
          <c:idx val="0"/>
          <c:order val="0"/>
          <c:tx>
            <c:v>Acueducto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NATAGA2020!$D$52:$G$52</c:f>
            </c:strRef>
          </c:cat>
          <c:val>
            <c:numRef>
              <c:f>NATAGA2020!$D$53:$G$53</c:f>
              <c:numCache/>
            </c:numRef>
          </c:val>
        </c:ser>
        <c:ser>
          <c:idx val="1"/>
          <c:order val="1"/>
          <c:tx>
            <c:v>Alcanatrillado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NATAGA2020!$D$52:$G$52</c:f>
            </c:strRef>
          </c:cat>
          <c:val>
            <c:numRef>
              <c:f>NATAGA2020!$D$54:$G$54</c:f>
              <c:numCache/>
            </c:numRef>
          </c:val>
        </c:ser>
        <c:ser>
          <c:idx val="2"/>
          <c:order val="2"/>
          <c:tx>
            <c:v>Aseo</c:v>
          </c:tx>
          <c:spPr>
            <a:solidFill>
              <a:schemeClr val="accent3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NATAGA2020!$D$52:$G$52</c:f>
            </c:strRef>
          </c:cat>
          <c:val>
            <c:numRef>
              <c:f>NATAGA2020!$D$55:$G$55</c:f>
              <c:numCache/>
            </c:numRef>
          </c:val>
        </c:ser>
        <c:axId val="319596823"/>
        <c:axId val="1912200097"/>
      </c:bar3DChart>
      <c:catAx>
        <c:axId val="319596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912200097"/>
      </c:catAx>
      <c:valAx>
        <c:axId val="191220009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319596823"/>
      </c:valAx>
    </c:plotArea>
    <c:legend>
      <c:legendPos val="r"/>
      <c:layout>
        <c:manualLayout>
          <c:xMode val="edge"/>
          <c:yMode val="edge"/>
          <c:x val="0.07343759829628371"/>
          <c:y val="0.9086161879895556"/>
        </c:manualLayout>
      </c:layout>
      <c:overlay val="0"/>
      <c:txPr>
        <a:bodyPr/>
        <a:lstStyle/>
        <a:p>
          <a:pPr lvl="0">
            <a:defRPr b="0" i="0" sz="5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INDICADORES  FACTURACION Y RECAUDO  DEL CORRIENTE
NATAGA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>
        <c:manualLayout>
          <c:xMode val="edge"/>
          <c:yMode val="edge"/>
          <c:x val="0.24330284333408372"/>
          <c:y val="0.19780296550243553"/>
          <c:w val="0.45372656397157257"/>
          <c:h val="0.6253593445652497"/>
        </c:manualLayout>
      </c:layout>
      <c:bar3DChart>
        <c:barDir val="col"/>
        <c:grouping val="clustered"/>
        <c:ser>
          <c:idx val="0"/>
          <c:order val="0"/>
          <c:tx>
            <c:v>Total Facturado Corriente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NATAGA2020!$D$42:$K$42</c:f>
            </c:strRef>
          </c:cat>
          <c:val>
            <c:numRef>
              <c:f>NATAGA2020!$D$43:$K$43</c:f>
              <c:numCache/>
            </c:numRef>
          </c:val>
        </c:ser>
        <c:ser>
          <c:idx val="1"/>
          <c:order val="1"/>
          <c:tx>
            <c:v>Total Recaudado Corriente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NATAGA2020!$D$42:$K$42</c:f>
            </c:strRef>
          </c:cat>
          <c:val>
            <c:numRef>
              <c:f>NATAGA2020!$D$44:$K$44</c:f>
              <c:numCache/>
            </c:numRef>
          </c:val>
        </c:ser>
        <c:axId val="328560810"/>
        <c:axId val="1512311395"/>
      </c:bar3DChart>
      <c:catAx>
        <c:axId val="3285608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1512311395"/>
      </c:catAx>
      <c:valAx>
        <c:axId val="15123113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328560810"/>
      </c:valAx>
    </c:plotArea>
    <c:legend>
      <c:legendPos val="r"/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INDICADORES FACTURACION Y RECAUDO DE LA DEUDA
NATAGA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Total Facturado deuda</c:v>
          </c:tx>
          <c:spPr>
            <a:solidFill>
              <a:srgbClr val="7030A0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NATAGA2020!$D$45:$K$45</c:f>
            </c:strRef>
          </c:cat>
          <c:val>
            <c:numRef>
              <c:f>NATAGA2020!$D$46:$K$46</c:f>
              <c:numCache/>
            </c:numRef>
          </c:val>
        </c:ser>
        <c:ser>
          <c:idx val="1"/>
          <c:order val="1"/>
          <c:tx>
            <c:v>Total Recaudado deuda</c:v>
          </c:tx>
          <c:spPr>
            <a:solidFill>
              <a:srgbClr val="B91777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 sz="5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NATAGA2020!$D$45:$K$45</c:f>
            </c:strRef>
          </c:cat>
          <c:val>
            <c:numRef>
              <c:f>NATAGA2020!$D$47:$K$47</c:f>
              <c:numCache/>
            </c:numRef>
          </c:val>
        </c:ser>
        <c:axId val="1397402727"/>
        <c:axId val="324720627"/>
      </c:bar3DChart>
      <c:catAx>
        <c:axId val="1397402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324720627"/>
      </c:catAx>
      <c:valAx>
        <c:axId val="3247206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Tahoma"/>
              </a:defRPr>
            </a:pPr>
          </a:p>
        </c:txPr>
        <c:crossAx val="1397402727"/>
      </c:valAx>
    </c:plotArea>
    <c:legend>
      <c:legendPos val="r"/>
      <c:overlay val="0"/>
      <c:txPr>
        <a:bodyPr/>
        <a:lstStyle/>
        <a:p>
          <a:pPr lvl="0">
            <a:defRPr b="1" i="0" sz="1000">
              <a:solidFill>
                <a:srgbClr val="1A1A1A"/>
              </a:solidFill>
              <a:latin typeface="Tahoma"/>
            </a:defRPr>
          </a:pPr>
        </a:p>
      </c:txPr>
    </c:legend>
    <c:plotVisOnly val="1"/>
  </c:chart>
  <c:spPr>
    <a:solidFill>
      <a:srgbClr val="5F497A"/>
    </a:solidFill>
  </c:spPr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v>Índice de Agua No Contabilizada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NATAGA2020!$C$52:$K$52</c:f>
            </c:strRef>
          </c:cat>
          <c:val>
            <c:numRef>
              <c:f>NATAGA2020!$C$57:$K$57</c:f>
              <c:numCache/>
            </c:numRef>
          </c:val>
        </c:ser>
        <c:axId val="182899750"/>
        <c:axId val="1209342443"/>
      </c:bar3DChart>
      <c:catAx>
        <c:axId val="18289975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09342443"/>
      </c:catAx>
      <c:valAx>
        <c:axId val="12093424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2899750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'02'!$C$19:$N$19</c:f>
              <c:numCache/>
            </c:numRef>
          </c:val>
          <c:smooth val="0"/>
        </c:ser>
        <c:axId val="1709204368"/>
        <c:axId val="686208173"/>
      </c:lineChart>
      <c:catAx>
        <c:axId val="170920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86208173"/>
      </c:catAx>
      <c:valAx>
        <c:axId val="6862081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09204368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'03'!$C$19:$N$19</c:f>
              <c:numCache/>
            </c:numRef>
          </c:val>
          <c:smooth val="0"/>
        </c:ser>
        <c:axId val="654759977"/>
        <c:axId val="1317312823"/>
      </c:lineChart>
      <c:catAx>
        <c:axId val="6547599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17312823"/>
      </c:catAx>
      <c:valAx>
        <c:axId val="13173128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54759977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'04'!$C$18:$N$18</c:f>
              <c:numCache/>
            </c:numRef>
          </c:val>
          <c:smooth val="0"/>
        </c:ser>
        <c:axId val="496379132"/>
        <c:axId val="140195038"/>
      </c:lineChart>
      <c:catAx>
        <c:axId val="4963791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40195038"/>
      </c:catAx>
      <c:valAx>
        <c:axId val="1401950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96379132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'05'!$C$19:$N$19</c:f>
              <c:numCache/>
            </c:numRef>
          </c:val>
          <c:smooth val="0"/>
        </c:ser>
        <c:axId val="1345818106"/>
        <c:axId val="1223792602"/>
      </c:lineChart>
      <c:catAx>
        <c:axId val="13458181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23792602"/>
      </c:catAx>
      <c:valAx>
        <c:axId val="12237926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4581810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'06'!$C$19:$N$19</c:f>
              <c:numCache/>
            </c:numRef>
          </c:val>
          <c:smooth val="0"/>
        </c:ser>
        <c:axId val="1319884130"/>
        <c:axId val="1903815458"/>
      </c:lineChart>
      <c:catAx>
        <c:axId val="13198841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03815458"/>
      </c:catAx>
      <c:valAx>
        <c:axId val="19038154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319884130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'07'!$C$16:$N$16</c:f>
            </c:strRef>
          </c:cat>
          <c:val>
            <c:numRef>
              <c:f>'07'!$C$18:$N$18</c:f>
              <c:numCache/>
            </c:numRef>
          </c:val>
          <c:smooth val="0"/>
        </c:ser>
        <c:axId val="744913296"/>
        <c:axId val="826406353"/>
      </c:lineChart>
      <c:catAx>
        <c:axId val="74491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26406353"/>
      </c:catAx>
      <c:valAx>
        <c:axId val="8264063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4491329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'08'!$C$19:$N$19</c:f>
              <c:numCache/>
            </c:numRef>
          </c:val>
          <c:smooth val="0"/>
        </c:ser>
        <c:axId val="298072263"/>
        <c:axId val="76035700"/>
      </c:lineChart>
      <c:catAx>
        <c:axId val="2980722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6035700"/>
      </c:catAx>
      <c:valAx>
        <c:axId val="760357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98072263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2022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'09'!$C$18:$N$18</c:f>
              <c:numCache/>
            </c:numRef>
          </c:val>
          <c:smooth val="0"/>
        </c:ser>
        <c:axId val="469458636"/>
        <c:axId val="1102214507"/>
      </c:lineChart>
      <c:catAx>
        <c:axId val="4694586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02214507"/>
      </c:catAx>
      <c:valAx>
        <c:axId val="11022145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69458636"/>
      </c:valAx>
    </c:plotArea>
    <c:legend>
      <c:legendPos val="r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5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5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5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8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2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6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Relationship Id="rId3" Type="http://schemas.openxmlformats.org/officeDocument/2006/relationships/chart" Target="../charts/chart17.xml"/><Relationship Id="rId4" Type="http://schemas.openxmlformats.org/officeDocument/2006/relationships/chart" Target="../charts/chart18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7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6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704850</xdr:colOff>
      <xdr:row>0</xdr:row>
      <xdr:rowOff>76200</xdr:rowOff>
    </xdr:from>
    <xdr:ext cx="1438275" cy="561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1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33400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495300"/>
    <xdr:pic>
      <xdr:nvPicPr>
        <xdr:cNvPr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52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86675" cy="2905125"/>
    <xdr:graphicFrame>
      <xdr:nvGraphicFramePr>
        <xdr:cNvPr id="14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429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71</xdr:row>
      <xdr:rowOff>114300</xdr:rowOff>
    </xdr:from>
    <xdr:ext cx="3390900" cy="3829050"/>
    <xdr:graphicFrame>
      <xdr:nvGraphicFramePr>
        <xdr:cNvPr id="15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209550</xdr:colOff>
      <xdr:row>98</xdr:row>
      <xdr:rowOff>104775</xdr:rowOff>
    </xdr:from>
    <xdr:ext cx="3724275" cy="4124325"/>
    <xdr:graphicFrame>
      <xdr:nvGraphicFramePr>
        <xdr:cNvPr id="16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219075</xdr:colOff>
      <xdr:row>124</xdr:row>
      <xdr:rowOff>152400</xdr:rowOff>
    </xdr:from>
    <xdr:ext cx="3695700" cy="4114800"/>
    <xdr:graphicFrame>
      <xdr:nvGraphicFramePr>
        <xdr:cNvPr id="1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447675</xdr:colOff>
      <xdr:row>73</xdr:row>
      <xdr:rowOff>38100</xdr:rowOff>
    </xdr:from>
    <xdr:ext cx="6381750" cy="3419475"/>
    <xdr:graphicFrame>
      <xdr:nvGraphicFramePr>
        <xdr:cNvPr id="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91540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0482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899160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619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543925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52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27</xdr:row>
      <xdr:rowOff>171450</xdr:rowOff>
    </xdr:from>
    <xdr:ext cx="842010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619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23875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524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800975" cy="2905125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5429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342900</xdr:colOff>
      <xdr:row>0</xdr:row>
      <xdr:rowOff>85725</xdr:rowOff>
    </xdr:from>
    <xdr:ext cx="1447800" cy="495300"/>
    <xdr:pic>
      <xdr:nvPicPr>
        <xdr:cNvPr id="0" name="image8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0c9d15ec-5324-49a8-9889-009c1c1cf188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6" dT="2026-07-31T12:53:04.00" personId="{0c9d15ec-5324-49a8-9889-009c1c1cf188}" id="{8210ec74-2db5-45d2-973e-03045b64a26a}" done="0">
    <x18tc:text xml:space="preserve">Importante aquí establecer para cada indicador la meta final deseada de forma razonable, que se proyecta al cierre de la presente vigencia</x18tc:text>
  </x18tc:threadedComment>
  <x18tc:threadedComment ref="J6" dT="2026-07-31T12:53:04.00" personId="{0c9d15ec-5324-49a8-9889-009c1c1cf188}" id="{0cbaaec9-b1fb-4e38-a605-4c376e5a3df2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6.86"/>
    <col customWidth="1" hidden="1" min="26" max="26" width="10.71"/>
  </cols>
  <sheetData>
    <row r="1" ht="14.25" customHeight="1">
      <c r="A1" s="1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12.75" customHeight="1">
      <c r="A2" s="5"/>
      <c r="D2" s="6" t="s">
        <v>1</v>
      </c>
      <c r="X2" s="7"/>
    </row>
    <row r="3" ht="15.0" customHeight="1">
      <c r="A3" s="5"/>
      <c r="D3" s="8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</row>
    <row r="4" ht="12.75" customHeight="1">
      <c r="A4" s="9"/>
      <c r="B4" s="10"/>
      <c r="C4" s="10"/>
      <c r="D4" s="1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/>
    </row>
    <row r="5" ht="18.0" customHeight="1">
      <c r="A5" s="13" t="s">
        <v>4</v>
      </c>
      <c r="B5" s="14"/>
      <c r="C5" s="14"/>
      <c r="D5" s="14"/>
      <c r="E5" s="14"/>
      <c r="F5" s="14"/>
      <c r="G5" s="14"/>
      <c r="H5" s="14"/>
      <c r="I5" s="15"/>
      <c r="J5" s="16" t="s">
        <v>5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</row>
    <row r="6" ht="30.75" customHeight="1">
      <c r="A6" s="18" t="s">
        <v>6</v>
      </c>
      <c r="B6" s="4"/>
      <c r="C6" s="19" t="s">
        <v>7</v>
      </c>
      <c r="D6" s="19" t="s">
        <v>8</v>
      </c>
      <c r="E6" s="20" t="s">
        <v>9</v>
      </c>
      <c r="F6" s="20" t="s">
        <v>10</v>
      </c>
      <c r="G6" s="21" t="s">
        <v>11</v>
      </c>
      <c r="H6" s="14"/>
      <c r="I6" s="17"/>
      <c r="J6" s="22" t="s">
        <v>12</v>
      </c>
      <c r="K6" s="22" t="s">
        <v>13</v>
      </c>
      <c r="L6" s="23" t="s">
        <v>14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7"/>
    </row>
    <row r="7" ht="31.5" customHeight="1">
      <c r="A7" s="9"/>
      <c r="B7" s="12"/>
      <c r="C7" s="24"/>
      <c r="D7" s="24"/>
      <c r="E7" s="24"/>
      <c r="F7" s="24"/>
      <c r="G7" s="25" t="s">
        <v>15</v>
      </c>
      <c r="H7" s="26" t="s">
        <v>16</v>
      </c>
      <c r="I7" s="27" t="s">
        <v>17</v>
      </c>
      <c r="J7" s="24"/>
      <c r="K7" s="24"/>
      <c r="L7" s="28" t="s">
        <v>18</v>
      </c>
      <c r="M7" s="28" t="s">
        <v>19</v>
      </c>
      <c r="N7" s="28" t="s">
        <v>20</v>
      </c>
      <c r="O7" s="28" t="s">
        <v>21</v>
      </c>
      <c r="P7" s="28" t="s">
        <v>22</v>
      </c>
      <c r="Q7" s="28" t="s">
        <v>23</v>
      </c>
      <c r="R7" s="28" t="s">
        <v>24</v>
      </c>
      <c r="S7" s="28" t="s">
        <v>25</v>
      </c>
      <c r="T7" s="28" t="s">
        <v>26</v>
      </c>
      <c r="U7" s="28" t="s">
        <v>27</v>
      </c>
      <c r="V7" s="28" t="s">
        <v>28</v>
      </c>
      <c r="W7" s="28" t="s">
        <v>29</v>
      </c>
      <c r="X7" s="28" t="s">
        <v>30</v>
      </c>
      <c r="Y7" s="29"/>
      <c r="Z7" s="29"/>
    </row>
    <row r="8" ht="57.75" customHeight="1">
      <c r="A8" s="30" t="s">
        <v>31</v>
      </c>
      <c r="B8" s="31" t="s">
        <v>32</v>
      </c>
      <c r="C8" s="32" t="s">
        <v>33</v>
      </c>
      <c r="D8" s="33" t="s">
        <v>34</v>
      </c>
      <c r="E8" s="34" t="s">
        <v>35</v>
      </c>
      <c r="F8" s="34" t="s">
        <v>36</v>
      </c>
      <c r="G8" s="35" t="s">
        <v>37</v>
      </c>
      <c r="H8" s="35" t="s">
        <v>38</v>
      </c>
      <c r="I8" s="35" t="s">
        <v>39</v>
      </c>
      <c r="J8" s="36">
        <v>0.78</v>
      </c>
      <c r="K8" s="36">
        <v>0.85</v>
      </c>
      <c r="L8" s="36">
        <f>'01'!$O$19</f>
        <v>0.7045931703</v>
      </c>
      <c r="M8" s="36">
        <f>'01'!$C$19</f>
        <v>0.8282544894</v>
      </c>
      <c r="N8" s="36">
        <f>'01'!$D$19</f>
        <v>0.8849888003</v>
      </c>
      <c r="O8" s="36">
        <f>'01'!$E$19</f>
        <v>0.8809404112</v>
      </c>
      <c r="P8" s="36">
        <f>'01'!$F$19</f>
        <v>0.7774218246</v>
      </c>
      <c r="Q8" s="36">
        <f>'01'!$G$19</f>
        <v>0.9676484249</v>
      </c>
      <c r="R8" s="36">
        <f>'01'!$H$19</f>
        <v>0.6255071548</v>
      </c>
      <c r="S8" s="36">
        <f>'01'!$I$19</f>
        <v>0</v>
      </c>
      <c r="T8" s="36" t="str">
        <f>'01'!$J$19</f>
        <v>-</v>
      </c>
      <c r="U8" s="36" t="str">
        <f>'01'!$K$19</f>
        <v>-</v>
      </c>
      <c r="V8" s="36" t="str">
        <f>'01'!$L$19</f>
        <v>-</v>
      </c>
      <c r="W8" s="36" t="str">
        <f>'01'!$M$19</f>
        <v>-</v>
      </c>
      <c r="X8" s="36" t="str">
        <f>'01'!$N$19</f>
        <v>-</v>
      </c>
      <c r="Y8" s="29"/>
      <c r="Z8" s="29"/>
    </row>
    <row r="9" ht="49.5" customHeight="1">
      <c r="A9" s="30" t="s">
        <v>40</v>
      </c>
      <c r="B9" s="31" t="s">
        <v>41</v>
      </c>
      <c r="C9" s="32" t="s">
        <v>42</v>
      </c>
      <c r="D9" s="33" t="s">
        <v>43</v>
      </c>
      <c r="E9" s="34" t="s">
        <v>35</v>
      </c>
      <c r="F9" s="34" t="s">
        <v>36</v>
      </c>
      <c r="G9" s="35" t="s">
        <v>44</v>
      </c>
      <c r="H9" s="35" t="s">
        <v>45</v>
      </c>
      <c r="I9" s="35" t="s">
        <v>39</v>
      </c>
      <c r="J9" s="36">
        <v>0.64</v>
      </c>
      <c r="K9" s="36">
        <v>0.75</v>
      </c>
      <c r="L9" s="36">
        <f>'02'!$O$19</f>
        <v>0.7224636118</v>
      </c>
      <c r="M9" s="36">
        <f>'02'!$C$19</f>
        <v>0.8343937909</v>
      </c>
      <c r="N9" s="36">
        <f>'02'!$D$19</f>
        <v>0.8967488064</v>
      </c>
      <c r="O9" s="36">
        <f>'02'!$E$19</f>
        <v>0.8899977098</v>
      </c>
      <c r="P9" s="36">
        <f>'02'!$F$19</f>
        <v>0.8056985987</v>
      </c>
      <c r="Q9" s="36">
        <f>'02'!$G$19</f>
        <v>0.8465612215</v>
      </c>
      <c r="R9" s="36">
        <f>'02'!$H$19</f>
        <v>0.8152064093</v>
      </c>
      <c r="S9" s="36">
        <f>'02'!$I$19</f>
        <v>0</v>
      </c>
      <c r="T9" s="36" t="str">
        <f>'02'!$J$19</f>
        <v>-</v>
      </c>
      <c r="U9" s="36" t="str">
        <f>'02'!$K$19</f>
        <v>-</v>
      </c>
      <c r="V9" s="36" t="str">
        <f>'02'!$L$19</f>
        <v>-</v>
      </c>
      <c r="W9" s="36" t="str">
        <f>'02'!$M$19</f>
        <v>-</v>
      </c>
      <c r="X9" s="36" t="str">
        <f>'02'!$N$19</f>
        <v>-</v>
      </c>
      <c r="Y9" s="29"/>
      <c r="Z9" s="29"/>
    </row>
    <row r="10" ht="60.0" customHeight="1">
      <c r="A10" s="30" t="s">
        <v>46</v>
      </c>
      <c r="B10" s="31" t="s">
        <v>47</v>
      </c>
      <c r="C10" s="32" t="s">
        <v>48</v>
      </c>
      <c r="D10" s="33" t="s">
        <v>49</v>
      </c>
      <c r="E10" s="34" t="s">
        <v>35</v>
      </c>
      <c r="F10" s="34" t="s">
        <v>36</v>
      </c>
      <c r="G10" s="35" t="s">
        <v>50</v>
      </c>
      <c r="H10" s="35" t="s">
        <v>51</v>
      </c>
      <c r="I10" s="35" t="s">
        <v>52</v>
      </c>
      <c r="J10" s="37">
        <v>16.0</v>
      </c>
      <c r="K10" s="37">
        <v>15.0</v>
      </c>
      <c r="L10" s="37">
        <f>'03'!$O$19</f>
        <v>10.09550887</v>
      </c>
      <c r="M10" s="37">
        <f>'03'!$C$19</f>
        <v>5.870366646</v>
      </c>
      <c r="N10" s="37">
        <f>'03'!$D$19</f>
        <v>3.921501756</v>
      </c>
      <c r="O10" s="37">
        <f>'03'!$E$19</f>
        <v>3.556098994</v>
      </c>
      <c r="P10" s="37">
        <f>'03'!$F$19</f>
        <v>6.41807295</v>
      </c>
      <c r="Q10" s="37">
        <f>'03'!$G$19</f>
        <v>5.889111773</v>
      </c>
      <c r="R10" s="37">
        <f>'03'!$H$19</f>
        <v>6.770685243</v>
      </c>
      <c r="S10" s="37">
        <f>'03'!$I$19</f>
        <v>39.16674125</v>
      </c>
      <c r="T10" s="37">
        <f>'03'!$J$19</f>
        <v>0</v>
      </c>
      <c r="U10" s="37">
        <f>'03'!$K$19</f>
        <v>0</v>
      </c>
      <c r="V10" s="37">
        <f>'03'!$L$19</f>
        <v>0</v>
      </c>
      <c r="W10" s="37">
        <f>'03'!$M$19</f>
        <v>0</v>
      </c>
      <c r="X10" s="37">
        <f>'03'!$N$19</f>
        <v>0</v>
      </c>
      <c r="Y10" s="29"/>
      <c r="Z10" s="29"/>
    </row>
    <row r="11" ht="52.5" customHeight="1">
      <c r="A11" s="30" t="s">
        <v>53</v>
      </c>
      <c r="B11" s="31" t="s">
        <v>54</v>
      </c>
      <c r="C11" s="32" t="s">
        <v>55</v>
      </c>
      <c r="D11" s="33" t="s">
        <v>56</v>
      </c>
      <c r="E11" s="34" t="s">
        <v>35</v>
      </c>
      <c r="F11" s="34" t="s">
        <v>36</v>
      </c>
      <c r="G11" s="35" t="s">
        <v>37</v>
      </c>
      <c r="H11" s="35" t="s">
        <v>38</v>
      </c>
      <c r="I11" s="35" t="s">
        <v>39</v>
      </c>
      <c r="J11" s="36">
        <v>0.92</v>
      </c>
      <c r="K11" s="36">
        <v>1.0</v>
      </c>
      <c r="L11" s="36" t="str">
        <f>'04'!$O$19</f>
        <v>-</v>
      </c>
      <c r="M11" s="36" t="str">
        <f>'04'!$C$19</f>
        <v>-</v>
      </c>
      <c r="N11" s="36" t="str">
        <f>'04'!$D$19</f>
        <v>-</v>
      </c>
      <c r="O11" s="36" t="str">
        <f>'04'!$E$19</f>
        <v>-</v>
      </c>
      <c r="P11" s="36" t="str">
        <f>'04'!$F$19</f>
        <v>-</v>
      </c>
      <c r="Q11" s="36" t="str">
        <f>'04'!$G$19</f>
        <v>-</v>
      </c>
      <c r="R11" s="36" t="str">
        <f>'04'!$H$19</f>
        <v>-</v>
      </c>
      <c r="S11" s="36" t="str">
        <f>'04'!$I$19</f>
        <v>-</v>
      </c>
      <c r="T11" s="36" t="str">
        <f>'04'!$J$19</f>
        <v>-</v>
      </c>
      <c r="U11" s="36" t="str">
        <f>'04'!$K$19</f>
        <v>-</v>
      </c>
      <c r="V11" s="36" t="str">
        <f>'04'!$L$19</f>
        <v>-</v>
      </c>
      <c r="W11" s="36" t="str">
        <f>'04'!$M$19</f>
        <v>-</v>
      </c>
      <c r="X11" s="36" t="str">
        <f>'04'!$N$19</f>
        <v>-</v>
      </c>
      <c r="Y11" s="29"/>
      <c r="Z11" s="29"/>
    </row>
    <row r="12" ht="60.0" customHeight="1">
      <c r="A12" s="30" t="s">
        <v>57</v>
      </c>
      <c r="B12" s="31" t="s">
        <v>58</v>
      </c>
      <c r="C12" s="32" t="s">
        <v>59</v>
      </c>
      <c r="D12" s="33" t="s">
        <v>60</v>
      </c>
      <c r="E12" s="34" t="s">
        <v>35</v>
      </c>
      <c r="F12" s="34" t="s">
        <v>36</v>
      </c>
      <c r="G12" s="35" t="s">
        <v>37</v>
      </c>
      <c r="H12" s="35" t="s">
        <v>38</v>
      </c>
      <c r="I12" s="35" t="s">
        <v>39</v>
      </c>
      <c r="J12" s="36">
        <v>0.99</v>
      </c>
      <c r="K12" s="36">
        <v>1.0</v>
      </c>
      <c r="L12" s="36">
        <f>'05'!$O$19</f>
        <v>0.9960629921</v>
      </c>
      <c r="M12" s="36">
        <f>'05'!$C$19</f>
        <v>0.993814433</v>
      </c>
      <c r="N12" s="36">
        <f>'05'!$D$19</f>
        <v>0.9917525773</v>
      </c>
      <c r="O12" s="36">
        <f>'05'!$E$19</f>
        <v>0.9927835052</v>
      </c>
      <c r="P12" s="36">
        <f>'05'!$F$19</f>
        <v>1</v>
      </c>
      <c r="Q12" s="36">
        <f>'05'!$G$19</f>
        <v>0.998980632</v>
      </c>
      <c r="R12" s="36">
        <f>'05'!$H$19</f>
        <v>0.998980632</v>
      </c>
      <c r="S12" s="36" t="str">
        <f>'05'!$I$19</f>
        <v>-</v>
      </c>
      <c r="T12" s="36" t="str">
        <f>'05'!$J$19</f>
        <v>-</v>
      </c>
      <c r="U12" s="36" t="str">
        <f>'05'!$K$19</f>
        <v>-</v>
      </c>
      <c r="V12" s="36" t="str">
        <f>'05'!$L$19</f>
        <v>-</v>
      </c>
      <c r="W12" s="36" t="str">
        <f>'05'!$M$19</f>
        <v>-</v>
      </c>
      <c r="X12" s="36" t="str">
        <f>'05'!$N$19</f>
        <v>-</v>
      </c>
      <c r="Y12" s="29"/>
      <c r="Z12" s="29"/>
    </row>
    <row r="13" ht="52.5" customHeight="1">
      <c r="A13" s="30" t="s">
        <v>61</v>
      </c>
      <c r="B13" s="38" t="s">
        <v>62</v>
      </c>
      <c r="C13" s="32" t="s">
        <v>63</v>
      </c>
      <c r="D13" s="33" t="s">
        <v>64</v>
      </c>
      <c r="E13" s="34" t="s">
        <v>35</v>
      </c>
      <c r="F13" s="34" t="s">
        <v>36</v>
      </c>
      <c r="G13" s="35" t="s">
        <v>37</v>
      </c>
      <c r="H13" s="35" t="s">
        <v>38</v>
      </c>
      <c r="I13" s="35" t="s">
        <v>39</v>
      </c>
      <c r="J13" s="36">
        <v>0.94</v>
      </c>
      <c r="K13" s="36">
        <v>1.0</v>
      </c>
      <c r="L13" s="36">
        <f>'06'!$O$19</f>
        <v>0.9673057172</v>
      </c>
      <c r="M13" s="36">
        <f>'06'!$C$19</f>
        <v>0.9649484536</v>
      </c>
      <c r="N13" s="36">
        <f>'06'!$D$19</f>
        <v>0.9628865979</v>
      </c>
      <c r="O13" s="36">
        <f>'06'!$E$19</f>
        <v>0.9639175258</v>
      </c>
      <c r="P13" s="36">
        <f>'06'!$F$19</f>
        <v>0.9711340206</v>
      </c>
      <c r="Q13" s="36">
        <f>'06'!$G$19</f>
        <v>0.9704383282</v>
      </c>
      <c r="R13" s="36">
        <f>'06'!$H$19</f>
        <v>0.9704383282</v>
      </c>
      <c r="S13" s="36" t="str">
        <f>'06'!$I$19</f>
        <v>-</v>
      </c>
      <c r="T13" s="36" t="str">
        <f>'06'!$J$19</f>
        <v>-</v>
      </c>
      <c r="U13" s="36" t="str">
        <f>'06'!$K$19</f>
        <v>-</v>
      </c>
      <c r="V13" s="36" t="str">
        <f>'06'!$L$19</f>
        <v>-</v>
      </c>
      <c r="W13" s="36" t="str">
        <f>'06'!$M$19</f>
        <v>-</v>
      </c>
      <c r="X13" s="36" t="str">
        <f>'06'!$N$19</f>
        <v>-</v>
      </c>
      <c r="Y13" s="29"/>
      <c r="Z13" s="29"/>
    </row>
    <row r="14" ht="48.75" customHeight="1">
      <c r="A14" s="30" t="s">
        <v>65</v>
      </c>
      <c r="B14" s="31" t="s">
        <v>66</v>
      </c>
      <c r="C14" s="32" t="s">
        <v>67</v>
      </c>
      <c r="D14" s="33" t="s">
        <v>68</v>
      </c>
      <c r="E14" s="34" t="s">
        <v>35</v>
      </c>
      <c r="F14" s="34" t="s">
        <v>36</v>
      </c>
      <c r="G14" s="35" t="s">
        <v>37</v>
      </c>
      <c r="H14" s="35" t="s">
        <v>38</v>
      </c>
      <c r="I14" s="35" t="s">
        <v>39</v>
      </c>
      <c r="J14" s="36">
        <v>0.95</v>
      </c>
      <c r="K14" s="36">
        <v>1.0</v>
      </c>
      <c r="L14" s="36" t="str">
        <f>'07'!$O$19</f>
        <v>-</v>
      </c>
      <c r="M14" s="36">
        <f>'07'!$C$19</f>
        <v>0.9639175258</v>
      </c>
      <c r="N14" s="36">
        <f>'07'!$D$19</f>
        <v>0.9618556701</v>
      </c>
      <c r="O14" s="36" t="str">
        <f>'07'!$E$19</f>
        <v>-</v>
      </c>
      <c r="P14" s="36" t="str">
        <f>'07'!$F$19</f>
        <v>-</v>
      </c>
      <c r="Q14" s="36" t="str">
        <f>'07'!$G$19</f>
        <v>-</v>
      </c>
      <c r="R14" s="36" t="str">
        <f>'07'!$H$19</f>
        <v>-</v>
      </c>
      <c r="S14" s="36" t="str">
        <f>'07'!$I$19</f>
        <v>-</v>
      </c>
      <c r="T14" s="36" t="str">
        <f>'07'!$J$19</f>
        <v>-</v>
      </c>
      <c r="U14" s="36" t="str">
        <f>'07'!$K$19</f>
        <v>-</v>
      </c>
      <c r="V14" s="36" t="str">
        <f>'07'!$L$19</f>
        <v>-</v>
      </c>
      <c r="W14" s="36" t="str">
        <f>'07'!$M$19</f>
        <v>-</v>
      </c>
      <c r="X14" s="36" t="str">
        <f>'07'!$N$19</f>
        <v>-</v>
      </c>
      <c r="Y14" s="29"/>
      <c r="Z14" s="29"/>
    </row>
    <row r="15" ht="47.25" customHeight="1">
      <c r="A15" s="30" t="s">
        <v>69</v>
      </c>
      <c r="B15" s="31" t="s">
        <v>70</v>
      </c>
      <c r="C15" s="32" t="s">
        <v>71</v>
      </c>
      <c r="D15" s="33" t="s">
        <v>72</v>
      </c>
      <c r="E15" s="34" t="s">
        <v>35</v>
      </c>
      <c r="F15" s="34" t="s">
        <v>36</v>
      </c>
      <c r="G15" s="35" t="s">
        <v>37</v>
      </c>
      <c r="H15" s="35" t="s">
        <v>38</v>
      </c>
      <c r="I15" s="35" t="s">
        <v>39</v>
      </c>
      <c r="J15" s="36">
        <v>0.96</v>
      </c>
      <c r="K15" s="36">
        <v>0.98</v>
      </c>
      <c r="L15" s="36">
        <f>'08'!$O$19</f>
        <v>1.155696855</v>
      </c>
      <c r="M15" s="36">
        <f>'08'!$C$19</f>
        <v>0.9927385892</v>
      </c>
      <c r="N15" s="36">
        <f>'08'!$D$19</f>
        <v>0.9916839917</v>
      </c>
      <c r="O15" s="36">
        <f>'08'!$E$19</f>
        <v>0.989615784</v>
      </c>
      <c r="P15" s="36">
        <f>'08'!$F$19</f>
        <v>0.987628866</v>
      </c>
      <c r="Q15" s="36">
        <f>'08'!$G$19</f>
        <v>0.9867346939</v>
      </c>
      <c r="R15" s="36">
        <f>'08'!$H$19</f>
        <v>0.987755102</v>
      </c>
      <c r="S15" s="36" t="str">
        <f>'08'!$I$19</f>
        <v>-</v>
      </c>
      <c r="T15" s="36" t="str">
        <f>'08'!$J$19</f>
        <v>-</v>
      </c>
      <c r="U15" s="36" t="str">
        <f>'08'!$K$19</f>
        <v>-</v>
      </c>
      <c r="V15" s="36" t="str">
        <f>'08'!$L$19</f>
        <v>-</v>
      </c>
      <c r="W15" s="36" t="str">
        <f>'08'!$M$19</f>
        <v>-</v>
      </c>
      <c r="X15" s="36" t="str">
        <f>'08'!$N$19</f>
        <v>-</v>
      </c>
      <c r="Y15" s="29"/>
      <c r="Z15" s="29"/>
    </row>
    <row r="16" ht="49.5" customHeight="1">
      <c r="A16" s="30" t="s">
        <v>73</v>
      </c>
      <c r="B16" s="31" t="s">
        <v>74</v>
      </c>
      <c r="C16" s="32" t="s">
        <v>75</v>
      </c>
      <c r="D16" s="33" t="s">
        <v>76</v>
      </c>
      <c r="E16" s="34" t="s">
        <v>35</v>
      </c>
      <c r="F16" s="34" t="s">
        <v>36</v>
      </c>
      <c r="G16" s="35" t="s">
        <v>77</v>
      </c>
      <c r="H16" s="35" t="s">
        <v>78</v>
      </c>
      <c r="I16" s="35" t="s">
        <v>79</v>
      </c>
      <c r="J16" s="36">
        <v>0.05</v>
      </c>
      <c r="K16" s="36">
        <v>0.05</v>
      </c>
      <c r="L16" s="36" t="str">
        <f>'09'!$O$19</f>
        <v>-</v>
      </c>
      <c r="M16" s="36" t="str">
        <f>'09'!$C$19</f>
        <v>-</v>
      </c>
      <c r="N16" s="36" t="str">
        <f>'09'!$D$19</f>
        <v>-</v>
      </c>
      <c r="O16" s="36" t="str">
        <f>'09'!$E$19</f>
        <v>-</v>
      </c>
      <c r="P16" s="36" t="str">
        <f>'09'!$F$19</f>
        <v>-</v>
      </c>
      <c r="Q16" s="36" t="str">
        <f>'09'!$G$19</f>
        <v>-</v>
      </c>
      <c r="R16" s="36" t="str">
        <f>'09'!$H$19</f>
        <v>-</v>
      </c>
      <c r="S16" s="36" t="str">
        <f>'09'!$I$19</f>
        <v>-</v>
      </c>
      <c r="T16" s="36" t="str">
        <f>'09'!$J$19</f>
        <v>-</v>
      </c>
      <c r="U16" s="36" t="str">
        <f>'09'!$K$19</f>
        <v>-</v>
      </c>
      <c r="V16" s="36" t="str">
        <f>'09'!$L$19</f>
        <v>-</v>
      </c>
      <c r="W16" s="36" t="str">
        <f>'09'!$M$19</f>
        <v>-</v>
      </c>
      <c r="X16" s="36" t="str">
        <f>'09'!$N$19</f>
        <v>-</v>
      </c>
    </row>
    <row r="17" ht="48.75" customHeight="1">
      <c r="A17" s="30" t="s">
        <v>80</v>
      </c>
      <c r="B17" s="31" t="s">
        <v>81</v>
      </c>
      <c r="C17" s="32" t="s">
        <v>82</v>
      </c>
      <c r="D17" s="33" t="s">
        <v>83</v>
      </c>
      <c r="E17" s="34" t="s">
        <v>35</v>
      </c>
      <c r="F17" s="34" t="s">
        <v>36</v>
      </c>
      <c r="G17" s="35" t="s">
        <v>84</v>
      </c>
      <c r="H17" s="35" t="s">
        <v>85</v>
      </c>
      <c r="I17" s="35" t="s">
        <v>86</v>
      </c>
      <c r="J17" s="36">
        <v>0.48</v>
      </c>
      <c r="K17" s="36">
        <v>0.45</v>
      </c>
      <c r="L17" s="36">
        <f>'10'!$O$19</f>
        <v>0.3756730273</v>
      </c>
      <c r="M17" s="36">
        <f>'10'!$C$19</f>
        <v>0.4928263989</v>
      </c>
      <c r="N17" s="36">
        <f>'10'!$D$19</f>
        <v>0.113986624</v>
      </c>
      <c r="O17" s="36">
        <f>'10'!$E$19</f>
        <v>0.4999173326</v>
      </c>
      <c r="P17" s="36">
        <f>'10'!$F$19</f>
        <v>0.3605699139</v>
      </c>
      <c r="Q17" s="36">
        <f>'10'!$G$19</f>
        <v>0.3648588926</v>
      </c>
      <c r="R17" s="36">
        <f>'10'!$H$19</f>
        <v>0.3616522249</v>
      </c>
      <c r="S17" s="36" t="str">
        <f>'10'!$I$19</f>
        <v>-</v>
      </c>
      <c r="T17" s="36" t="str">
        <f>'10'!$J$19</f>
        <v>-</v>
      </c>
      <c r="U17" s="36" t="str">
        <f>'10'!$K$19</f>
        <v>-</v>
      </c>
      <c r="V17" s="36" t="str">
        <f>'10'!$L$19</f>
        <v>-</v>
      </c>
      <c r="W17" s="36" t="str">
        <f>'10'!$M$19</f>
        <v>-</v>
      </c>
      <c r="X17" s="36" t="str">
        <f>'10'!$N$19</f>
        <v>-</v>
      </c>
    </row>
    <row r="18" ht="47.25" customHeight="1">
      <c r="A18" s="30" t="s">
        <v>87</v>
      </c>
      <c r="B18" s="31" t="s">
        <v>88</v>
      </c>
      <c r="C18" s="32" t="s">
        <v>89</v>
      </c>
      <c r="D18" s="33" t="s">
        <v>90</v>
      </c>
      <c r="E18" s="34" t="s">
        <v>35</v>
      </c>
      <c r="F18" s="34" t="s">
        <v>36</v>
      </c>
      <c r="G18" s="35" t="s">
        <v>37</v>
      </c>
      <c r="H18" s="35" t="s">
        <v>38</v>
      </c>
      <c r="I18" s="35" t="s">
        <v>39</v>
      </c>
      <c r="J18" s="36">
        <v>0.98</v>
      </c>
      <c r="K18" s="36">
        <v>0.99</v>
      </c>
      <c r="L18" s="36" t="str">
        <f>'11'!$O$19</f>
        <v>-</v>
      </c>
      <c r="M18" s="36" t="str">
        <f>'11'!$C$19</f>
        <v>-</v>
      </c>
      <c r="N18" s="36" t="str">
        <f>'11'!$D$19</f>
        <v>-</v>
      </c>
      <c r="O18" s="36" t="str">
        <f>'11'!$E$19</f>
        <v>-</v>
      </c>
      <c r="P18" s="36" t="str">
        <f>'11'!$F$19</f>
        <v>-</v>
      </c>
      <c r="Q18" s="36" t="str">
        <f>'11'!$G$19</f>
        <v>-</v>
      </c>
      <c r="R18" s="36" t="str">
        <f>'11'!$H$19</f>
        <v>-</v>
      </c>
      <c r="S18" s="36" t="str">
        <f>'11'!$I$19</f>
        <v>-</v>
      </c>
      <c r="T18" s="36" t="str">
        <f>'11'!$J$19</f>
        <v>-</v>
      </c>
      <c r="U18" s="36" t="str">
        <f>'11'!$K$19</f>
        <v>-</v>
      </c>
      <c r="V18" s="36" t="str">
        <f>'11'!$L$19</f>
        <v>-</v>
      </c>
      <c r="W18" s="36" t="str">
        <f>'11'!$M$19</f>
        <v>-</v>
      </c>
      <c r="X18" s="36" t="str">
        <f>'11'!$N$19</f>
        <v>-</v>
      </c>
      <c r="Y18" s="50"/>
    </row>
    <row r="19" ht="48.75" customHeight="1">
      <c r="A19" s="30" t="s">
        <v>94</v>
      </c>
      <c r="B19" s="31" t="s">
        <v>95</v>
      </c>
      <c r="C19" s="32" t="s">
        <v>96</v>
      </c>
      <c r="D19" s="33" t="s">
        <v>97</v>
      </c>
      <c r="E19" s="34" t="s">
        <v>98</v>
      </c>
      <c r="F19" s="34" t="s">
        <v>36</v>
      </c>
      <c r="G19" s="35" t="s">
        <v>100</v>
      </c>
      <c r="H19" s="35" t="s">
        <v>101</v>
      </c>
      <c r="I19" s="35" t="s">
        <v>102</v>
      </c>
      <c r="J19" s="36">
        <v>1.0</v>
      </c>
      <c r="K19" s="36">
        <v>1.0</v>
      </c>
      <c r="L19" s="36">
        <f>'12'!$O$19</f>
        <v>0.4166666667</v>
      </c>
      <c r="M19" s="36">
        <f>'12'!$C$19</f>
        <v>1</v>
      </c>
      <c r="N19" s="36">
        <f>'12'!$D$19</f>
        <v>1</v>
      </c>
      <c r="O19" s="36">
        <f>'12'!$E$19</f>
        <v>1</v>
      </c>
      <c r="P19" s="36">
        <f>'12'!$F$19</f>
        <v>1</v>
      </c>
      <c r="Q19" s="36">
        <f>'12'!$G$19</f>
        <v>1</v>
      </c>
      <c r="R19" s="36" t="str">
        <f>'12'!$H$19</f>
        <v>-</v>
      </c>
      <c r="S19" s="36" t="str">
        <f>'12'!$I$19</f>
        <v>-</v>
      </c>
      <c r="T19" s="36" t="str">
        <f>'12'!$J$19</f>
        <v>-</v>
      </c>
      <c r="U19" s="36" t="str">
        <f>'12'!$K$19</f>
        <v>-</v>
      </c>
      <c r="V19" s="36" t="str">
        <f>'12'!$L$19</f>
        <v>-</v>
      </c>
      <c r="W19" s="36" t="str">
        <f>'12'!$M$19</f>
        <v>-</v>
      </c>
      <c r="X19" s="36" t="str">
        <f>'12'!$N$19</f>
        <v>-</v>
      </c>
    </row>
    <row r="20" ht="48.75" customHeight="1">
      <c r="A20" s="30" t="s">
        <v>103</v>
      </c>
      <c r="B20" s="31" t="s">
        <v>104</v>
      </c>
      <c r="C20" s="32" t="s">
        <v>105</v>
      </c>
      <c r="D20" s="33" t="s">
        <v>106</v>
      </c>
      <c r="E20" s="34" t="s">
        <v>35</v>
      </c>
      <c r="F20" s="34" t="s">
        <v>36</v>
      </c>
      <c r="G20" s="35" t="s">
        <v>107</v>
      </c>
      <c r="H20" s="35" t="s">
        <v>108</v>
      </c>
      <c r="I20" s="35" t="s">
        <v>109</v>
      </c>
      <c r="J20" s="36" t="s">
        <v>110</v>
      </c>
      <c r="K20" s="36" t="s">
        <v>110</v>
      </c>
      <c r="L20" s="36">
        <f>'13'!$O$19</f>
        <v>0.001202955834</v>
      </c>
      <c r="M20" s="36">
        <f>'13'!$C$19</f>
        <v>0</v>
      </c>
      <c r="N20" s="36">
        <f>'13'!$D$19</f>
        <v>0.003118503119</v>
      </c>
      <c r="O20" s="36">
        <f>'13'!$E$19</f>
        <v>0.001038421599</v>
      </c>
      <c r="P20" s="36">
        <f>'13'!$F$19</f>
        <v>0.001030927835</v>
      </c>
      <c r="Q20" s="36">
        <f>'13'!$G$19</f>
        <v>0.002040816327</v>
      </c>
      <c r="R20" s="36">
        <f>'13'!$H$19</f>
        <v>0</v>
      </c>
      <c r="S20" s="36" t="str">
        <f>'13'!$I$19</f>
        <v>-</v>
      </c>
      <c r="T20" s="36" t="str">
        <f>'13'!$J$19</f>
        <v>-</v>
      </c>
      <c r="U20" s="36" t="str">
        <f>'13'!$K$19</f>
        <v>-</v>
      </c>
      <c r="V20" s="36" t="str">
        <f>'13'!$L$19</f>
        <v>-</v>
      </c>
      <c r="W20" s="36" t="str">
        <f>'13'!$M$19</f>
        <v>-</v>
      </c>
      <c r="X20" s="36" t="str">
        <f>'13'!$N$19</f>
        <v>-</v>
      </c>
    </row>
    <row r="21" ht="49.5" customHeight="1">
      <c r="A21" s="30" t="s">
        <v>113</v>
      </c>
      <c r="B21" s="31" t="s">
        <v>114</v>
      </c>
      <c r="C21" s="32" t="s">
        <v>115</v>
      </c>
      <c r="D21" s="33" t="s">
        <v>116</v>
      </c>
      <c r="E21" s="34" t="s">
        <v>35</v>
      </c>
      <c r="F21" s="34" t="s">
        <v>36</v>
      </c>
      <c r="G21" s="35" t="s">
        <v>100</v>
      </c>
      <c r="H21" s="35" t="s">
        <v>101</v>
      </c>
      <c r="I21" s="35" t="s">
        <v>102</v>
      </c>
      <c r="J21" s="36">
        <v>0.95</v>
      </c>
      <c r="K21" s="36">
        <v>1.0</v>
      </c>
      <c r="L21" s="36" t="str">
        <f>'14'!$O$19</f>
        <v>-</v>
      </c>
      <c r="M21" s="36">
        <f>'14'!$C$19</f>
        <v>0.9639175258</v>
      </c>
      <c r="N21" s="36">
        <f>'14'!$D$19</f>
        <v>0.9618556701</v>
      </c>
      <c r="O21" s="36" t="str">
        <f>'14'!$E$19</f>
        <v>-</v>
      </c>
      <c r="P21" s="36" t="str">
        <f>'14'!$F$19</f>
        <v>-</v>
      </c>
      <c r="Q21" s="36" t="str">
        <f>'14'!$G$19</f>
        <v>-</v>
      </c>
      <c r="R21" s="36" t="str">
        <f>'14'!$H$19</f>
        <v>-</v>
      </c>
      <c r="S21" s="36" t="str">
        <f>'14'!$I$19</f>
        <v>-</v>
      </c>
      <c r="T21" s="36" t="str">
        <f>'14'!$J$19</f>
        <v>-</v>
      </c>
      <c r="U21" s="36" t="str">
        <f>'14'!$K$19</f>
        <v>-</v>
      </c>
      <c r="V21" s="36" t="str">
        <f>'14'!$L$19</f>
        <v>-</v>
      </c>
      <c r="W21" s="36" t="str">
        <f>'14'!$M$19</f>
        <v>-</v>
      </c>
      <c r="X21" s="36" t="str">
        <f>'14'!$N$19</f>
        <v>-</v>
      </c>
    </row>
    <row r="22" ht="6.75" customHeight="1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7"/>
    </row>
    <row r="23" ht="14.25" customHeight="1"/>
    <row r="24" ht="14.25" customHeight="1">
      <c r="Z24" s="79" t="s">
        <v>125</v>
      </c>
    </row>
    <row r="25" ht="14.25" customHeight="1">
      <c r="Z25" s="79" t="s">
        <v>126</v>
      </c>
    </row>
    <row r="26" ht="14.25" customHeight="1">
      <c r="Z26" s="79" t="s">
        <v>127</v>
      </c>
    </row>
    <row r="27" ht="14.25" customHeight="1">
      <c r="Z27" s="79" t="s">
        <v>128</v>
      </c>
    </row>
    <row r="28" ht="14.25" customHeight="1">
      <c r="Z28" s="79" t="s">
        <v>129</v>
      </c>
    </row>
    <row r="29" ht="14.25" customHeight="1">
      <c r="Z29" s="79" t="s">
        <v>130</v>
      </c>
    </row>
    <row r="30" ht="14.25" customHeight="1">
      <c r="Z30" s="79" t="s">
        <v>131</v>
      </c>
    </row>
    <row r="31" ht="14.25" customHeight="1">
      <c r="Z31" s="79" t="s">
        <v>132</v>
      </c>
    </row>
    <row r="32" ht="14.25" customHeight="1">
      <c r="Z32" s="79" t="s">
        <v>133</v>
      </c>
    </row>
    <row r="33" ht="14.25" customHeight="1">
      <c r="Z33" s="79" t="s">
        <v>134</v>
      </c>
    </row>
    <row r="34" ht="14.25" customHeight="1">
      <c r="Z34" s="79" t="s">
        <v>136</v>
      </c>
    </row>
    <row r="35" ht="14.25" customHeight="1">
      <c r="Z35" s="79" t="s">
        <v>137</v>
      </c>
    </row>
    <row r="36" ht="14.25" customHeight="1">
      <c r="Z36" s="79" t="s">
        <v>5</v>
      </c>
    </row>
    <row r="37" ht="14.25" customHeight="1">
      <c r="Z37" s="79" t="s">
        <v>138</v>
      </c>
    </row>
    <row r="38" ht="14.25" customHeight="1">
      <c r="Z38" s="79" t="s">
        <v>139</v>
      </c>
    </row>
    <row r="39" ht="14.25" customHeight="1">
      <c r="Z39" s="79" t="s">
        <v>140</v>
      </c>
    </row>
    <row r="40" ht="14.25" customHeight="1">
      <c r="Z40" s="79" t="s">
        <v>142</v>
      </c>
    </row>
    <row r="41" ht="14.25" customHeight="1"/>
    <row r="42" ht="14.25" customHeight="1">
      <c r="Z42" s="79" t="s">
        <v>36</v>
      </c>
    </row>
    <row r="43" ht="14.25" customHeight="1">
      <c r="Z43" s="79" t="s">
        <v>143</v>
      </c>
    </row>
    <row r="44" ht="14.25" customHeight="1">
      <c r="Z44" s="79" t="s">
        <v>144</v>
      </c>
    </row>
    <row r="45" ht="14.25" customHeight="1"/>
    <row r="46" ht="14.25" customHeight="1">
      <c r="Z46" s="86" t="s">
        <v>145</v>
      </c>
    </row>
    <row r="47" ht="14.25" customHeight="1">
      <c r="Z47" s="86" t="s">
        <v>146</v>
      </c>
    </row>
    <row r="48" ht="14.25" customHeight="1">
      <c r="Z48" s="86" t="s">
        <v>35</v>
      </c>
    </row>
    <row r="49" ht="14.25" customHeight="1">
      <c r="Z49" s="86" t="s">
        <v>147</v>
      </c>
    </row>
    <row r="50" ht="14.25" customHeight="1">
      <c r="Z50" s="86" t="s">
        <v>98</v>
      </c>
    </row>
    <row r="51" ht="14.25" customHeight="1">
      <c r="Z51" s="86" t="s">
        <v>148</v>
      </c>
    </row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7">
    <mergeCell ref="A6:B7"/>
    <mergeCell ref="C6:C7"/>
    <mergeCell ref="D6:D7"/>
    <mergeCell ref="E6:E7"/>
    <mergeCell ref="F6:F7"/>
    <mergeCell ref="G6:I6"/>
    <mergeCell ref="J6:J7"/>
    <mergeCell ref="K6:K7"/>
    <mergeCell ref="L6:X6"/>
    <mergeCell ref="A22:X22"/>
    <mergeCell ref="A1:C4"/>
    <mergeCell ref="D1:X1"/>
    <mergeCell ref="D2:X2"/>
    <mergeCell ref="D3:X3"/>
    <mergeCell ref="D4:X4"/>
    <mergeCell ref="A5:I5"/>
    <mergeCell ref="J5:X5"/>
  </mergeCells>
  <conditionalFormatting sqref="L8:X8">
    <cfRule type="cellIs" dxfId="0" priority="1" operator="between">
      <formula>0.8</formula>
      <formula>1000000</formula>
    </cfRule>
  </conditionalFormatting>
  <conditionalFormatting sqref="L8:X8">
    <cfRule type="cellIs" dxfId="1" priority="2" operator="between">
      <formula>0.59</formula>
      <formula>0.7999</formula>
    </cfRule>
  </conditionalFormatting>
  <conditionalFormatting sqref="L8:X8">
    <cfRule type="cellIs" dxfId="2" priority="3" operator="lessThan">
      <formula>0.59</formula>
    </cfRule>
  </conditionalFormatting>
  <conditionalFormatting sqref="L9:X9">
    <cfRule type="cellIs" dxfId="0" priority="4" operator="between">
      <formula>0.71</formula>
      <formula>100000</formula>
    </cfRule>
  </conditionalFormatting>
  <conditionalFormatting sqref="L9:X9">
    <cfRule type="cellIs" dxfId="1" priority="5" operator="between">
      <formula>0.6</formula>
      <formula>0.709</formula>
    </cfRule>
  </conditionalFormatting>
  <conditionalFormatting sqref="L9:X9">
    <cfRule type="cellIs" dxfId="2" priority="6" operator="between">
      <formula>0</formula>
      <formula>0.599</formula>
    </cfRule>
  </conditionalFormatting>
  <conditionalFormatting sqref="L10:X10">
    <cfRule type="cellIs" dxfId="2" priority="7" operator="between">
      <formula>45</formula>
      <formula>1000000000</formula>
    </cfRule>
  </conditionalFormatting>
  <conditionalFormatting sqref="L10:X10">
    <cfRule type="cellIs" dxfId="1" priority="8" operator="between">
      <formula>31</formula>
      <formula>44.9</formula>
    </cfRule>
  </conditionalFormatting>
  <conditionalFormatting sqref="L10:X10">
    <cfRule type="cellIs" dxfId="0" priority="9" operator="between">
      <formula>0</formula>
      <formula>30.9</formula>
    </cfRule>
  </conditionalFormatting>
  <conditionalFormatting sqref="L11:X15">
    <cfRule type="cellIs" dxfId="0" priority="10" operator="between">
      <formula>0.8</formula>
      <formula>10000000</formula>
    </cfRule>
  </conditionalFormatting>
  <conditionalFormatting sqref="L11:X15">
    <cfRule type="cellIs" dxfId="1" priority="11" operator="between">
      <formula>0.6</formula>
      <formula>0.799</formula>
    </cfRule>
  </conditionalFormatting>
  <conditionalFormatting sqref="L11:X15">
    <cfRule type="cellIs" dxfId="2" priority="12" operator="between">
      <formula>0</formula>
      <formula>0.599</formula>
    </cfRule>
  </conditionalFormatting>
  <conditionalFormatting sqref="L16:X16">
    <cfRule type="cellIs" dxfId="2" priority="13" operator="between">
      <formula>0.081</formula>
      <formula>100000000</formula>
    </cfRule>
  </conditionalFormatting>
  <conditionalFormatting sqref="L16:X16">
    <cfRule type="cellIs" dxfId="1" priority="14" operator="between">
      <formula>0.05</formula>
      <formula>0.08</formula>
    </cfRule>
  </conditionalFormatting>
  <conditionalFormatting sqref="L16:X16">
    <cfRule type="cellIs" dxfId="0" priority="15" operator="between">
      <formula>0</formula>
      <formula>0.049</formula>
    </cfRule>
  </conditionalFormatting>
  <conditionalFormatting sqref="L17:X17">
    <cfRule type="cellIs" dxfId="2" priority="16" operator="between">
      <formula>0.501</formula>
      <formula>1000000</formula>
    </cfRule>
  </conditionalFormatting>
  <conditionalFormatting sqref="L17:X17">
    <cfRule type="cellIs" dxfId="1" priority="17" operator="between">
      <formula>0.3</formula>
      <formula>0.5</formula>
    </cfRule>
  </conditionalFormatting>
  <conditionalFormatting sqref="L17:X17">
    <cfRule type="cellIs" dxfId="0" priority="18" operator="between">
      <formula>0</formula>
      <formula>0.299</formula>
    </cfRule>
  </conditionalFormatting>
  <conditionalFormatting sqref="L18:X18">
    <cfRule type="cellIs" dxfId="0" priority="19" operator="between">
      <formula>0.8</formula>
      <formula>1000000</formula>
    </cfRule>
  </conditionalFormatting>
  <conditionalFormatting sqref="L18:X18">
    <cfRule type="cellIs" dxfId="1" priority="20" operator="between">
      <formula>0.6</formula>
      <formula>0.799</formula>
    </cfRule>
  </conditionalFormatting>
  <conditionalFormatting sqref="L18:X18">
    <cfRule type="cellIs" dxfId="2" priority="21" operator="between">
      <formula>0</formula>
      <formula>0.599</formula>
    </cfRule>
  </conditionalFormatting>
  <conditionalFormatting sqref="L19:X19 L21:X21">
    <cfRule type="cellIs" dxfId="0" priority="22" operator="between">
      <formula>0.91</formula>
      <formula>10000000</formula>
    </cfRule>
  </conditionalFormatting>
  <conditionalFormatting sqref="L19:X19 L21:X21">
    <cfRule type="cellIs" dxfId="1" priority="23" operator="between">
      <formula>0.71</formula>
      <formula>0.909</formula>
    </cfRule>
  </conditionalFormatting>
  <conditionalFormatting sqref="L19:X19 L21:X21">
    <cfRule type="cellIs" dxfId="2" priority="24" operator="between">
      <formula>0</formula>
      <formula>0.709</formula>
    </cfRule>
  </conditionalFormatting>
  <conditionalFormatting sqref="L20:X20">
    <cfRule type="cellIs" dxfId="2" priority="25" operator="between">
      <formula>0.201</formula>
      <formula>1000000</formula>
    </cfRule>
  </conditionalFormatting>
  <conditionalFormatting sqref="L20:X20">
    <cfRule type="cellIs" dxfId="1" priority="26" operator="between">
      <formula>0.101</formula>
      <formula>0.2</formula>
    </cfRule>
  </conditionalFormatting>
  <conditionalFormatting sqref="L20:X20">
    <cfRule type="cellIs" dxfId="0" priority="27" operator="between">
      <formula>0</formula>
      <formula>0.1</formula>
    </cfRule>
  </conditionalFormatting>
  <conditionalFormatting sqref="U16">
    <cfRule type="cellIs" dxfId="2" priority="28" operator="between">
      <formula>0.501</formula>
      <formula>1000000</formula>
    </cfRule>
  </conditionalFormatting>
  <conditionalFormatting sqref="U16">
    <cfRule type="cellIs" dxfId="1" priority="29" operator="between">
      <formula>0.3</formula>
      <formula>0.5</formula>
    </cfRule>
  </conditionalFormatting>
  <conditionalFormatting sqref="U16">
    <cfRule type="cellIs" dxfId="0" priority="30" operator="between">
      <formula>0</formula>
      <formula>0.299</formula>
    </cfRule>
  </conditionalFormatting>
  <dataValidations>
    <dataValidation type="list" allowBlank="1" showErrorMessage="1" sqref="E8:E21">
      <formula1>$Z$46:$Z$51</formula1>
    </dataValidation>
    <dataValidation type="list" allowBlank="1" showErrorMessage="1" sqref="F8:F21">
      <formula1>$Z$42:$Z$44</formula1>
    </dataValidation>
    <dataValidation type="list" allowBlank="1" showErrorMessage="1" sqref="J5">
      <formula1>$Z$24:$Z$40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86"/>
    <col customWidth="1" hidden="1" min="17" max="18" width="6.86"/>
    <col customWidth="1" min="19" max="20" width="6.86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2.7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0" customHeight="1">
      <c r="A3" s="44"/>
      <c r="D3" s="41" t="s">
        <v>254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7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Nataga'!$B16</f>
        <v>Calidad del Agua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Nataga'!F16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Nataga'!A16</f>
        <v>IN09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39.0" customHeight="1">
      <c r="A11" s="87" t="str">
        <f>'SET SP Nataga'!$C16</f>
        <v>Monitorear la calidad de agua suministrada a los usuarios por parte de Aguas de Huila.</v>
      </c>
      <c r="B11" s="63"/>
      <c r="C11" s="63"/>
      <c r="D11" s="65"/>
      <c r="E11" s="88" t="s">
        <v>150</v>
      </c>
      <c r="F11" s="89" t="str">
        <f>'SET SP Nataga'!$D16</f>
        <v>Medición de acuerdo al IRCA          </v>
      </c>
      <c r="G11" s="65"/>
      <c r="H11" s="92">
        <f>$O18</f>
        <v>0.05</v>
      </c>
      <c r="I11" s="91" t="str">
        <f>'SET SP Nataga'!$E16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+'08'!A15:O15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7">
        <f t="shared" ref="C17:N17" si="1">$O$17</f>
        <v>0.05</v>
      </c>
      <c r="D17" s="107">
        <f t="shared" si="1"/>
        <v>0.05</v>
      </c>
      <c r="E17" s="107">
        <f t="shared" si="1"/>
        <v>0.05</v>
      </c>
      <c r="F17" s="107">
        <f t="shared" si="1"/>
        <v>0.05</v>
      </c>
      <c r="G17" s="107">
        <f t="shared" si="1"/>
        <v>0.05</v>
      </c>
      <c r="H17" s="107">
        <f t="shared" si="1"/>
        <v>0.05</v>
      </c>
      <c r="I17" s="107">
        <f t="shared" si="1"/>
        <v>0.05</v>
      </c>
      <c r="J17" s="107">
        <f t="shared" si="1"/>
        <v>0.05</v>
      </c>
      <c r="K17" s="107">
        <f t="shared" si="1"/>
        <v>0.05</v>
      </c>
      <c r="L17" s="107">
        <f t="shared" si="1"/>
        <v>0.05</v>
      </c>
      <c r="M17" s="107">
        <f t="shared" si="1"/>
        <v>0.05</v>
      </c>
      <c r="N17" s="107">
        <f t="shared" si="1"/>
        <v>0.05</v>
      </c>
      <c r="O17" s="110">
        <f>'SET SP Nataga'!J16</f>
        <v>0.05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+'08'!A18:B18</f>
        <v>META  AÑO 2022</v>
      </c>
      <c r="B18" s="58"/>
      <c r="C18" s="107">
        <f t="shared" ref="C18:N18" si="2">$O$18</f>
        <v>0.05</v>
      </c>
      <c r="D18" s="107">
        <f t="shared" si="2"/>
        <v>0.05</v>
      </c>
      <c r="E18" s="107">
        <f t="shared" si="2"/>
        <v>0.05</v>
      </c>
      <c r="F18" s="107">
        <f t="shared" si="2"/>
        <v>0.05</v>
      </c>
      <c r="G18" s="107">
        <f t="shared" si="2"/>
        <v>0.05</v>
      </c>
      <c r="H18" s="107">
        <f t="shared" si="2"/>
        <v>0.05</v>
      </c>
      <c r="I18" s="107">
        <f t="shared" si="2"/>
        <v>0.05</v>
      </c>
      <c r="J18" s="107">
        <f t="shared" si="2"/>
        <v>0.05</v>
      </c>
      <c r="K18" s="107">
        <f t="shared" si="2"/>
        <v>0.05</v>
      </c>
      <c r="L18" s="107">
        <f t="shared" si="2"/>
        <v>0.05</v>
      </c>
      <c r="M18" s="107">
        <f t="shared" si="2"/>
        <v>0.05</v>
      </c>
      <c r="N18" s="107">
        <f t="shared" si="2"/>
        <v>0.05</v>
      </c>
      <c r="O18" s="110">
        <f>'SET SP Nataga'!K16</f>
        <v>0.05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 t="str">
        <f t="shared" ref="C19:N19" si="3">IF((C20),C20,"-")</f>
        <v>-</v>
      </c>
      <c r="D19" s="113" t="str">
        <f t="shared" si="3"/>
        <v>-</v>
      </c>
      <c r="E19" s="113" t="str">
        <f t="shared" si="3"/>
        <v>-</v>
      </c>
      <c r="F19" s="113" t="str">
        <f t="shared" si="3"/>
        <v>-</v>
      </c>
      <c r="G19" s="113" t="str">
        <f t="shared" si="3"/>
        <v>-</v>
      </c>
      <c r="H19" s="113" t="str">
        <f t="shared" si="3"/>
        <v>-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 t="str">
        <f>IF(ISNUMBER(O20),O20,"-")</f>
        <v>-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23.25" customHeight="1">
      <c r="A20" s="116" t="s">
        <v>159</v>
      </c>
      <c r="B20" s="117" t="s">
        <v>255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9" t="str">
        <f>AVERAGE(C20:N20)</f>
        <v>#DIV/0!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21.0" customHeight="1">
      <c r="A21" s="121"/>
      <c r="B21" s="123"/>
      <c r="C21" s="109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31"/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7.2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8.0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Nataga'!$G16</f>
        <v>Menor al 5%</v>
      </c>
      <c r="E24" s="134"/>
      <c r="F24" s="134"/>
      <c r="G24" s="135"/>
      <c r="H24" s="138" t="str">
        <f>'SET SP Nataga'!$H16</f>
        <v>Entre el 5% y el 8%</v>
      </c>
      <c r="I24" s="134"/>
      <c r="J24" s="134"/>
      <c r="K24" s="135"/>
      <c r="L24" s="138" t="str">
        <f>'SET SP Nataga'!$I16</f>
        <v>Mayor al 8%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256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257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257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257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257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257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257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258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259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 t="s">
        <v>167</v>
      </c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5.2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59">
        <v>0.05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59">
        <v>0.049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0"/>
    <col customWidth="1" hidden="1" min="17" max="18" width="7.0"/>
    <col customWidth="1" min="19" max="19" width="7.0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2.7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75" customHeight="1">
      <c r="A3" s="44"/>
      <c r="D3" s="41" t="s">
        <v>260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7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Nataga'!$B17</f>
        <v>Índice de agua no contabilizada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Nataga'!F17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Nataga'!A17</f>
        <v>IN10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8.0" customHeight="1">
      <c r="A11" s="87" t="str">
        <f>'SET SP Nataga'!$C17</f>
        <v>Lograr que Aguas del Huila facture la totalidad del agua producida.</v>
      </c>
      <c r="B11" s="63"/>
      <c r="C11" s="63"/>
      <c r="D11" s="65"/>
      <c r="E11" s="88" t="s">
        <v>150</v>
      </c>
      <c r="F11" s="89" t="str">
        <f>'SET SP Nataga'!$D17</f>
        <v>(Volumen  producido - Volumen facturado /   Volumen  producido)   x 100          </v>
      </c>
      <c r="G11" s="65"/>
      <c r="H11" s="92">
        <f>$O18</f>
        <v>0.45</v>
      </c>
      <c r="I11" s="91" t="str">
        <f>'SET SP Nataga'!$E17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+'09'!A15:O15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7">
        <f t="shared" ref="C17:N17" si="1">$O$17</f>
        <v>0.48</v>
      </c>
      <c r="D17" s="107">
        <f t="shared" si="1"/>
        <v>0.48</v>
      </c>
      <c r="E17" s="107">
        <f t="shared" si="1"/>
        <v>0.48</v>
      </c>
      <c r="F17" s="107">
        <f t="shared" si="1"/>
        <v>0.48</v>
      </c>
      <c r="G17" s="107">
        <f t="shared" si="1"/>
        <v>0.48</v>
      </c>
      <c r="H17" s="107">
        <f t="shared" si="1"/>
        <v>0.48</v>
      </c>
      <c r="I17" s="107">
        <f t="shared" si="1"/>
        <v>0.48</v>
      </c>
      <c r="J17" s="107">
        <f t="shared" si="1"/>
        <v>0.48</v>
      </c>
      <c r="K17" s="107">
        <f t="shared" si="1"/>
        <v>0.48</v>
      </c>
      <c r="L17" s="107">
        <f t="shared" si="1"/>
        <v>0.48</v>
      </c>
      <c r="M17" s="107">
        <f t="shared" si="1"/>
        <v>0.48</v>
      </c>
      <c r="N17" s="107">
        <f t="shared" si="1"/>
        <v>0.48</v>
      </c>
      <c r="O17" s="110">
        <f>'SET SP Nataga'!J17</f>
        <v>0.48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+'09'!A18:B18</f>
        <v>META  AÑO 2022</v>
      </c>
      <c r="B18" s="58"/>
      <c r="C18" s="107">
        <f t="shared" ref="C18:N18" si="2">$O$18</f>
        <v>0.45</v>
      </c>
      <c r="D18" s="107">
        <f t="shared" si="2"/>
        <v>0.45</v>
      </c>
      <c r="E18" s="107">
        <f t="shared" si="2"/>
        <v>0.45</v>
      </c>
      <c r="F18" s="107">
        <f t="shared" si="2"/>
        <v>0.45</v>
      </c>
      <c r="G18" s="107">
        <f t="shared" si="2"/>
        <v>0.45</v>
      </c>
      <c r="H18" s="107">
        <f t="shared" si="2"/>
        <v>0.45</v>
      </c>
      <c r="I18" s="107">
        <f t="shared" si="2"/>
        <v>0.45</v>
      </c>
      <c r="J18" s="107">
        <f t="shared" si="2"/>
        <v>0.45</v>
      </c>
      <c r="K18" s="107">
        <f t="shared" si="2"/>
        <v>0.45</v>
      </c>
      <c r="L18" s="107">
        <f t="shared" si="2"/>
        <v>0.45</v>
      </c>
      <c r="M18" s="107">
        <f t="shared" si="2"/>
        <v>0.45</v>
      </c>
      <c r="N18" s="107">
        <f t="shared" si="2"/>
        <v>0.45</v>
      </c>
      <c r="O18" s="110">
        <f>'SET SP Nataga'!K17</f>
        <v>0.45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IF((C21),(C20-C21)/C20,"-")</f>
        <v>0.4928263989</v>
      </c>
      <c r="D19" s="113">
        <f t="shared" si="3"/>
        <v>0.113986624</v>
      </c>
      <c r="E19" s="113">
        <f t="shared" si="3"/>
        <v>0.4999173326</v>
      </c>
      <c r="F19" s="113">
        <f t="shared" si="3"/>
        <v>0.3605699139</v>
      </c>
      <c r="G19" s="113">
        <f t="shared" si="3"/>
        <v>0.3648588926</v>
      </c>
      <c r="H19" s="113">
        <f t="shared" si="3"/>
        <v>0.3616522249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0.3756730273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7.25" customHeight="1">
      <c r="A20" s="116" t="s">
        <v>159</v>
      </c>
      <c r="B20" s="117" t="s">
        <v>263</v>
      </c>
      <c r="C20" s="108">
        <f>+NATAGA2020!D$9</f>
        <v>16728</v>
      </c>
      <c r="D20" s="108">
        <f>+NATAGA2020!E$9</f>
        <v>13756</v>
      </c>
      <c r="E20" s="108">
        <f>+NATAGA2020!F$9</f>
        <v>18145</v>
      </c>
      <c r="F20" s="108">
        <f>+NATAGA2020!G$9</f>
        <v>15090</v>
      </c>
      <c r="G20" s="108">
        <f>+NATAGA2020!H$9</f>
        <v>15839</v>
      </c>
      <c r="H20" s="108">
        <f>+NATAGA2020!I$9</f>
        <v>15349</v>
      </c>
      <c r="I20" s="108" t="str">
        <f>+NATAGA2020!J$9</f>
        <v/>
      </c>
      <c r="J20" s="108" t="str">
        <f>+NATAGA2020!K$9</f>
        <v/>
      </c>
      <c r="K20" s="108" t="str">
        <f>+NATAGA2020!L$9</f>
        <v/>
      </c>
      <c r="L20" s="108" t="str">
        <f>+NATAGA2020!M$9</f>
        <v/>
      </c>
      <c r="M20" s="108" t="str">
        <f>+NATAGA2020!N$9</f>
        <v/>
      </c>
      <c r="N20" s="108" t="str">
        <f>+NATAGA2020!O$9</f>
        <v/>
      </c>
      <c r="O20" s="120">
        <f t="shared" ref="O20:O21" si="4">SUM(C20:N20)</f>
        <v>94907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7.25" customHeight="1">
      <c r="A21" s="121"/>
      <c r="B21" s="117" t="s">
        <v>265</v>
      </c>
      <c r="C21" s="108">
        <f>+NATAGA2020!D$10</f>
        <v>8484</v>
      </c>
      <c r="D21" s="108">
        <f>+NATAGA2020!E$10</f>
        <v>12188</v>
      </c>
      <c r="E21" s="108">
        <f>+NATAGA2020!F$10</f>
        <v>9074</v>
      </c>
      <c r="F21" s="108">
        <f>+NATAGA2020!G$10</f>
        <v>9649</v>
      </c>
      <c r="G21" s="108">
        <f>+NATAGA2020!H$10</f>
        <v>10060</v>
      </c>
      <c r="H21" s="108">
        <f>+NATAGA2020!I$10</f>
        <v>9798</v>
      </c>
      <c r="I21" s="108" t="str">
        <f>+NATAGA2020!J$10</f>
        <v/>
      </c>
      <c r="J21" s="108" t="str">
        <f>+NATAGA2020!K$10</f>
        <v/>
      </c>
      <c r="K21" s="108" t="str">
        <f>+NATAGA2020!L$10</f>
        <v/>
      </c>
      <c r="L21" s="108" t="str">
        <f>+NATAGA2020!M$10</f>
        <v/>
      </c>
      <c r="M21" s="108" t="str">
        <f>+NATAGA2020!N$10</f>
        <v/>
      </c>
      <c r="N21" s="108" t="str">
        <f>+NATAGA2020!O$10</f>
        <v/>
      </c>
      <c r="O21" s="120">
        <f t="shared" si="4"/>
        <v>59253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2.0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3.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Nataga'!$G17</f>
        <v>Menor al 30%</v>
      </c>
      <c r="E24" s="134"/>
      <c r="F24" s="134"/>
      <c r="G24" s="135"/>
      <c r="H24" s="138" t="str">
        <f>'SET SP Nataga'!$H17</f>
        <v>Entre el 30% y el 50%</v>
      </c>
      <c r="I24" s="134"/>
      <c r="J24" s="134"/>
      <c r="K24" s="135"/>
      <c r="L24" s="138" t="str">
        <f>'SET SP Nataga'!$I17</f>
        <v>Mayor al 50%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267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268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269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270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271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272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273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275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277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2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8"/>
      <c r="N43" s="157"/>
      <c r="O43" s="6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2.7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79" t="s">
        <v>198</v>
      </c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79" t="s">
        <v>199</v>
      </c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200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151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201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202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203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204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159">
        <v>0.3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159">
        <v>0.299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$Q$44:$Q$51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4" width="7.71"/>
    <col customWidth="1" min="15" max="15" width="8.43"/>
    <col customWidth="1" min="16" max="16" width="5.71"/>
    <col customWidth="1" hidden="1" min="17" max="18" width="5.71"/>
    <col customWidth="1" min="19" max="19" width="5.71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3.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0" customHeight="1">
      <c r="A3" s="44"/>
      <c r="D3" s="41" t="s">
        <v>261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0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Nataga'!$B18</f>
        <v>Continuidad del servicio (Acueducto)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Nataga'!F18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Nataga'!A18</f>
        <v>IN11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38.25" customHeight="1">
      <c r="A11" s="87" t="str">
        <f>'SET SP Nataga'!$C18</f>
        <v>Prestar el servico de acueducto en forma continua las 24 horas.</v>
      </c>
      <c r="B11" s="63"/>
      <c r="C11" s="63"/>
      <c r="D11" s="65"/>
      <c r="E11" s="88" t="s">
        <v>150</v>
      </c>
      <c r="F11" s="89" t="str">
        <f>'SET SP Nataga'!$D18</f>
        <v>(720 - Horas sin servicio mensuales) / 720) * 100</v>
      </c>
      <c r="G11" s="65"/>
      <c r="H11" s="92">
        <f>$O18</f>
        <v>0.99</v>
      </c>
      <c r="I11" s="91" t="str">
        <f>'SET SP Nataga'!$E18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+'10'!A15:O15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>
        <f t="shared" ref="C17:N17" si="1">$O$17</f>
        <v>0.98</v>
      </c>
      <c r="D17" s="109">
        <f t="shared" si="1"/>
        <v>0.98</v>
      </c>
      <c r="E17" s="109">
        <f t="shared" si="1"/>
        <v>0.98</v>
      </c>
      <c r="F17" s="109">
        <f t="shared" si="1"/>
        <v>0.98</v>
      </c>
      <c r="G17" s="109">
        <f t="shared" si="1"/>
        <v>0.98</v>
      </c>
      <c r="H17" s="109">
        <f t="shared" si="1"/>
        <v>0.98</v>
      </c>
      <c r="I17" s="109">
        <f t="shared" si="1"/>
        <v>0.98</v>
      </c>
      <c r="J17" s="109">
        <f t="shared" si="1"/>
        <v>0.98</v>
      </c>
      <c r="K17" s="109">
        <f t="shared" si="1"/>
        <v>0.98</v>
      </c>
      <c r="L17" s="109">
        <f t="shared" si="1"/>
        <v>0.98</v>
      </c>
      <c r="M17" s="109">
        <f t="shared" si="1"/>
        <v>0.98</v>
      </c>
      <c r="N17" s="109">
        <f t="shared" si="1"/>
        <v>0.98</v>
      </c>
      <c r="O17" s="166">
        <f>'SET SP Nataga'!J18</f>
        <v>0.98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+'10'!A18:B18</f>
        <v>META  AÑO 2022</v>
      </c>
      <c r="B18" s="58"/>
      <c r="C18" s="109">
        <f t="shared" ref="C18:N18" si="2">$O$18</f>
        <v>0.99</v>
      </c>
      <c r="D18" s="109">
        <f t="shared" si="2"/>
        <v>0.99</v>
      </c>
      <c r="E18" s="109">
        <f t="shared" si="2"/>
        <v>0.99</v>
      </c>
      <c r="F18" s="109">
        <f t="shared" si="2"/>
        <v>0.99</v>
      </c>
      <c r="G18" s="109">
        <f t="shared" si="2"/>
        <v>0.99</v>
      </c>
      <c r="H18" s="109">
        <f t="shared" si="2"/>
        <v>0.99</v>
      </c>
      <c r="I18" s="109">
        <f t="shared" si="2"/>
        <v>0.99</v>
      </c>
      <c r="J18" s="109">
        <f t="shared" si="2"/>
        <v>0.99</v>
      </c>
      <c r="K18" s="109">
        <f t="shared" si="2"/>
        <v>0.99</v>
      </c>
      <c r="L18" s="109">
        <f t="shared" si="2"/>
        <v>0.99</v>
      </c>
      <c r="M18" s="109">
        <f t="shared" si="2"/>
        <v>0.99</v>
      </c>
      <c r="N18" s="109">
        <f t="shared" si="2"/>
        <v>0.99</v>
      </c>
      <c r="O18" s="166">
        <f>'SET SP Nataga'!K18</f>
        <v>0.99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 t="str">
        <f t="shared" ref="C19:O19" si="3">IF(ISNUMBER(C20),(720-C20)/720,"-")</f>
        <v>-</v>
      </c>
      <c r="D19" s="113" t="str">
        <f t="shared" si="3"/>
        <v>-</v>
      </c>
      <c r="E19" s="113" t="str">
        <f t="shared" si="3"/>
        <v>-</v>
      </c>
      <c r="F19" s="113" t="str">
        <f t="shared" si="3"/>
        <v>-</v>
      </c>
      <c r="G19" s="113" t="str">
        <f t="shared" si="3"/>
        <v>-</v>
      </c>
      <c r="H19" s="113" t="str">
        <f t="shared" si="3"/>
        <v>-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 t="str">
        <f t="shared" si="3"/>
        <v>-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6.5" customHeight="1">
      <c r="A20" s="116" t="s">
        <v>159</v>
      </c>
      <c r="B20" s="117" t="s">
        <v>264</v>
      </c>
      <c r="C20" s="124" t="str">
        <f>+NATAGA2020!D39</f>
        <v/>
      </c>
      <c r="D20" s="124" t="str">
        <f>+NATAGA2020!E39</f>
        <v/>
      </c>
      <c r="E20" s="124" t="str">
        <f>+NATAGA2020!F39</f>
        <v/>
      </c>
      <c r="F20" s="124" t="str">
        <f>+NATAGA2020!G39</f>
        <v/>
      </c>
      <c r="G20" s="124" t="str">
        <f>+NATAGA2020!H39</f>
        <v/>
      </c>
      <c r="H20" s="124" t="str">
        <f>+NATAGA2020!I39</f>
        <v/>
      </c>
      <c r="I20" s="124" t="str">
        <f>+NATAGA2020!J39</f>
        <v/>
      </c>
      <c r="J20" s="124" t="str">
        <f>+NATAGA2020!K39</f>
        <v/>
      </c>
      <c r="K20" s="124" t="str">
        <f>+NATAGA2020!L39</f>
        <v/>
      </c>
      <c r="L20" s="124" t="str">
        <f>+NATAGA2020!M39</f>
        <v/>
      </c>
      <c r="M20" s="124" t="str">
        <f>+NATAGA2020!N39</f>
        <v/>
      </c>
      <c r="N20" s="124" t="str">
        <f>+NATAGA2020!O39</f>
        <v/>
      </c>
      <c r="O20" s="180" t="str">
        <f>AVERAGE(C20:N20)</f>
        <v>#DIV/0!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3.5" customHeight="1">
      <c r="A21" s="121"/>
      <c r="B21" s="123" t="s">
        <v>167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31"/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4.2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4.2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Nataga'!$G18</f>
        <v>Entre 80% y 100%</v>
      </c>
      <c r="E24" s="134"/>
      <c r="F24" s="134"/>
      <c r="G24" s="135"/>
      <c r="H24" s="138" t="str">
        <f>'SET SP Nataga'!$H18</f>
        <v>Entre 60% y 79%</v>
      </c>
      <c r="I24" s="134"/>
      <c r="J24" s="134"/>
      <c r="K24" s="135"/>
      <c r="L24" s="138" t="str">
        <f>'SET SP Nataga'!$I18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266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2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2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2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2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2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0" customHeight="1">
      <c r="A34" s="152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276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2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7"/>
      <c r="O43" s="6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5.2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60">
        <v>0.9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60">
        <v>0.95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14"/>
    <col customWidth="1" hidden="1" min="17" max="18" width="6.14"/>
    <col customWidth="1" min="19" max="19" width="6.14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2.7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4.25" customHeight="1">
      <c r="A3" s="44"/>
      <c r="D3" s="41" t="s">
        <v>262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7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Nataga'!$B19</f>
        <v>Continuidad del Servicio (Aseo)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Nataga'!F19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Nataga'!A19</f>
        <v>IN12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7.25" customHeight="1">
      <c r="A11" s="87" t="str">
        <f>'SET SP Nataga'!$C19</f>
        <v>Recolectar los residuos solidos en los dias y rutas establecidas en el PEGIRS.</v>
      </c>
      <c r="B11" s="63"/>
      <c r="C11" s="63"/>
      <c r="D11" s="65"/>
      <c r="E11" s="88" t="s">
        <v>150</v>
      </c>
      <c r="F11" s="89" t="str">
        <f>'SET SP Nataga'!$D19</f>
        <v>Número de dias de recolección de residuos sólidos por semestre / 144</v>
      </c>
      <c r="G11" s="65"/>
      <c r="H11" s="92">
        <f>$O18</f>
        <v>1</v>
      </c>
      <c r="I11" s="91" t="str">
        <f>'SET SP Nataga'!$E19</f>
        <v>Semestral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+'11'!A15:O15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>
        <f t="shared" ref="C17:N17" si="1">$O$17</f>
        <v>1</v>
      </c>
      <c r="D17" s="109">
        <f t="shared" si="1"/>
        <v>1</v>
      </c>
      <c r="E17" s="109">
        <f t="shared" si="1"/>
        <v>1</v>
      </c>
      <c r="F17" s="109">
        <f t="shared" si="1"/>
        <v>1</v>
      </c>
      <c r="G17" s="109">
        <f t="shared" si="1"/>
        <v>1</v>
      </c>
      <c r="H17" s="109">
        <f t="shared" si="1"/>
        <v>1</v>
      </c>
      <c r="I17" s="109">
        <f t="shared" si="1"/>
        <v>1</v>
      </c>
      <c r="J17" s="109">
        <f t="shared" si="1"/>
        <v>1</v>
      </c>
      <c r="K17" s="109">
        <f t="shared" si="1"/>
        <v>1</v>
      </c>
      <c r="L17" s="109">
        <f t="shared" si="1"/>
        <v>1</v>
      </c>
      <c r="M17" s="109">
        <f t="shared" si="1"/>
        <v>1</v>
      </c>
      <c r="N17" s="109">
        <f t="shared" si="1"/>
        <v>1</v>
      </c>
      <c r="O17" s="166">
        <f>'SET SP Nataga'!J19</f>
        <v>1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+'11'!A18:B18</f>
        <v>META  AÑO 2022</v>
      </c>
      <c r="B18" s="58"/>
      <c r="C18" s="109">
        <f t="shared" ref="C18:N18" si="2">$O$18</f>
        <v>1</v>
      </c>
      <c r="D18" s="109">
        <f t="shared" si="2"/>
        <v>1</v>
      </c>
      <c r="E18" s="109">
        <f t="shared" si="2"/>
        <v>1</v>
      </c>
      <c r="F18" s="109">
        <f t="shared" si="2"/>
        <v>1</v>
      </c>
      <c r="G18" s="109">
        <f t="shared" si="2"/>
        <v>1</v>
      </c>
      <c r="H18" s="109">
        <f t="shared" si="2"/>
        <v>1</v>
      </c>
      <c r="I18" s="109">
        <f t="shared" si="2"/>
        <v>1</v>
      </c>
      <c r="J18" s="109">
        <f t="shared" si="2"/>
        <v>1</v>
      </c>
      <c r="K18" s="109">
        <f t="shared" si="2"/>
        <v>1</v>
      </c>
      <c r="L18" s="109">
        <f t="shared" si="2"/>
        <v>1</v>
      </c>
      <c r="M18" s="109">
        <f t="shared" si="2"/>
        <v>1</v>
      </c>
      <c r="N18" s="109">
        <f t="shared" si="2"/>
        <v>1</v>
      </c>
      <c r="O18" s="166">
        <f>'SET SP Nataga'!K19</f>
        <v>1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N19" si="3">IF(ISNUMBER(C20),C20/4,"-")</f>
        <v>1</v>
      </c>
      <c r="D19" s="113">
        <f t="shared" si="3"/>
        <v>1</v>
      </c>
      <c r="E19" s="113">
        <f t="shared" si="3"/>
        <v>1</v>
      </c>
      <c r="F19" s="113">
        <f t="shared" si="3"/>
        <v>1</v>
      </c>
      <c r="G19" s="113">
        <f t="shared" si="3"/>
        <v>1</v>
      </c>
      <c r="H19" s="113" t="str">
        <f t="shared" si="3"/>
        <v>-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>IF((O20),O20/48,"-")</f>
        <v>0.4166666667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21.75" customHeight="1">
      <c r="A20" s="116" t="s">
        <v>159</v>
      </c>
      <c r="B20" s="117" t="s">
        <v>274</v>
      </c>
      <c r="C20" s="124">
        <v>4.0</v>
      </c>
      <c r="D20" s="124">
        <v>4.0</v>
      </c>
      <c r="E20" s="124">
        <v>4.0</v>
      </c>
      <c r="F20" s="124">
        <v>4.0</v>
      </c>
      <c r="G20" s="124">
        <v>4.0</v>
      </c>
      <c r="H20" s="124"/>
      <c r="I20" s="124"/>
      <c r="J20" s="124"/>
      <c r="K20" s="124"/>
      <c r="L20" s="124"/>
      <c r="M20" s="124"/>
      <c r="N20" s="124"/>
      <c r="O20" s="131">
        <f>SUM(C20:N20)</f>
        <v>20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8.0" customHeight="1">
      <c r="A21" s="121"/>
      <c r="B21" s="117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31"/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3.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3.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Nataga'!$G19</f>
        <v>Entre 91% y 100%</v>
      </c>
      <c r="E24" s="134"/>
      <c r="F24" s="134"/>
      <c r="G24" s="135"/>
      <c r="H24" s="138" t="str">
        <f>'SET SP Nataga'!$H19</f>
        <v>Entre 71% y 90%</v>
      </c>
      <c r="I24" s="134"/>
      <c r="J24" s="134"/>
      <c r="K24" s="135"/>
      <c r="L24" s="138" t="str">
        <f>'SET SP Nataga'!$I19</f>
        <v>Menor al 70%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278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279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279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279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279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279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280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281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282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 t="s">
        <v>167</v>
      </c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5.2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60">
        <v>0.98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60">
        <v>1.0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7.29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3.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6.5" customHeight="1">
      <c r="A3" s="44"/>
      <c r="D3" s="41" t="s">
        <v>283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0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Nataga'!$B20</f>
        <v>PQR en la prestación del servicio.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Nataga'!F20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Nataga'!A20</f>
        <v>IN13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8.0" customHeight="1">
      <c r="A11" s="87" t="str">
        <f>'SET SP Nataga'!$C20</f>
        <v>Medir el grado de satisfación de los suscriptores en la prestación del servicio.</v>
      </c>
      <c r="B11" s="63"/>
      <c r="C11" s="63"/>
      <c r="D11" s="65"/>
      <c r="E11" s="88" t="s">
        <v>150</v>
      </c>
      <c r="F11" s="89" t="str">
        <f>'SET SP Nataga'!$D20</f>
        <v>Número de PQR recibidas / número de suscriptores del servicio*100</v>
      </c>
      <c r="G11" s="65"/>
      <c r="H11" s="92" t="str">
        <f>$O18</f>
        <v>&lt; 1%</v>
      </c>
      <c r="I11" s="91" t="str">
        <f>'SET SP Nataga'!$E20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+'12'!A15:O15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 t="str">
        <f t="shared" ref="C17:N17" si="1">$O$17</f>
        <v>&lt; 1%</v>
      </c>
      <c r="D17" s="109" t="str">
        <f t="shared" si="1"/>
        <v>&lt; 1%</v>
      </c>
      <c r="E17" s="109" t="str">
        <f t="shared" si="1"/>
        <v>&lt; 1%</v>
      </c>
      <c r="F17" s="109" t="str">
        <f t="shared" si="1"/>
        <v>&lt; 1%</v>
      </c>
      <c r="G17" s="109" t="str">
        <f t="shared" si="1"/>
        <v>&lt; 1%</v>
      </c>
      <c r="H17" s="109" t="str">
        <f t="shared" si="1"/>
        <v>&lt; 1%</v>
      </c>
      <c r="I17" s="109" t="str">
        <f t="shared" si="1"/>
        <v>&lt; 1%</v>
      </c>
      <c r="J17" s="109" t="str">
        <f t="shared" si="1"/>
        <v>&lt; 1%</v>
      </c>
      <c r="K17" s="109" t="str">
        <f t="shared" si="1"/>
        <v>&lt; 1%</v>
      </c>
      <c r="L17" s="109" t="str">
        <f t="shared" si="1"/>
        <v>&lt; 1%</v>
      </c>
      <c r="M17" s="109" t="str">
        <f t="shared" si="1"/>
        <v>&lt; 1%</v>
      </c>
      <c r="N17" s="109" t="str">
        <f t="shared" si="1"/>
        <v>&lt; 1%</v>
      </c>
      <c r="O17" s="166" t="str">
        <f>'SET SP Nataga'!J20</f>
        <v>&lt; 1%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+'12'!A18:B18</f>
        <v>META  AÑO 2022</v>
      </c>
      <c r="B18" s="58"/>
      <c r="C18" s="109" t="str">
        <f t="shared" ref="C18:N18" si="2">$O$18</f>
        <v>&lt; 1%</v>
      </c>
      <c r="D18" s="109" t="str">
        <f t="shared" si="2"/>
        <v>&lt; 1%</v>
      </c>
      <c r="E18" s="109" t="str">
        <f t="shared" si="2"/>
        <v>&lt; 1%</v>
      </c>
      <c r="F18" s="109" t="str">
        <f t="shared" si="2"/>
        <v>&lt; 1%</v>
      </c>
      <c r="G18" s="109" t="str">
        <f t="shared" si="2"/>
        <v>&lt; 1%</v>
      </c>
      <c r="H18" s="109" t="str">
        <f t="shared" si="2"/>
        <v>&lt; 1%</v>
      </c>
      <c r="I18" s="109" t="str">
        <f t="shared" si="2"/>
        <v>&lt; 1%</v>
      </c>
      <c r="J18" s="109" t="str">
        <f t="shared" si="2"/>
        <v>&lt; 1%</v>
      </c>
      <c r="K18" s="109" t="str">
        <f t="shared" si="2"/>
        <v>&lt; 1%</v>
      </c>
      <c r="L18" s="109" t="str">
        <f t="shared" si="2"/>
        <v>&lt; 1%</v>
      </c>
      <c r="M18" s="109" t="str">
        <f t="shared" si="2"/>
        <v>&lt; 1%</v>
      </c>
      <c r="N18" s="109" t="str">
        <f t="shared" si="2"/>
        <v>&lt; 1%</v>
      </c>
      <c r="O18" s="166" t="str">
        <f>'SET SP Nataga'!K20</f>
        <v>&lt; 1%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IF((C21),C20/C21,"-")</f>
        <v>0</v>
      </c>
      <c r="D19" s="113">
        <f t="shared" si="3"/>
        <v>0.003118503119</v>
      </c>
      <c r="E19" s="113">
        <f t="shared" si="3"/>
        <v>0.001038421599</v>
      </c>
      <c r="F19" s="113">
        <f t="shared" si="3"/>
        <v>0.001030927835</v>
      </c>
      <c r="G19" s="113">
        <f t="shared" si="3"/>
        <v>0.002040816327</v>
      </c>
      <c r="H19" s="113">
        <f t="shared" si="3"/>
        <v>0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0.001202955834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5.0" customHeight="1">
      <c r="A20" s="116" t="s">
        <v>159</v>
      </c>
      <c r="B20" s="117" t="s">
        <v>284</v>
      </c>
      <c r="C20" s="108">
        <f>+NATAGA2020!D40</f>
        <v>0</v>
      </c>
      <c r="D20" s="108">
        <f>+NATAGA2020!E40</f>
        <v>3</v>
      </c>
      <c r="E20" s="108">
        <f>+NATAGA2020!F40</f>
        <v>1</v>
      </c>
      <c r="F20" s="108">
        <f>+NATAGA2020!G40</f>
        <v>1</v>
      </c>
      <c r="G20" s="108">
        <f>+NATAGA2020!H40</f>
        <v>2</v>
      </c>
      <c r="H20" s="108">
        <f>+NATAGA2020!I40</f>
        <v>0</v>
      </c>
      <c r="I20" s="108" t="str">
        <f>+NATAGA2020!J40</f>
        <v/>
      </c>
      <c r="J20" s="108" t="str">
        <f>+NATAGA2020!K40</f>
        <v/>
      </c>
      <c r="K20" s="108" t="str">
        <f>+NATAGA2020!L40</f>
        <v/>
      </c>
      <c r="L20" s="108" t="str">
        <f>+NATAGA2020!M40</f>
        <v/>
      </c>
      <c r="M20" s="108" t="str">
        <f>+NATAGA2020!N40</f>
        <v/>
      </c>
      <c r="N20" s="108">
        <f>+NATAGA2020!O40</f>
        <v>0</v>
      </c>
      <c r="O20" s="120">
        <f t="shared" ref="O20:O21" si="4">SUM(C20:N20)</f>
        <v>7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2.75" customHeight="1">
      <c r="A21" s="121"/>
      <c r="B21" s="117" t="s">
        <v>285</v>
      </c>
      <c r="C21" s="108">
        <f>+'05'!C20</f>
        <v>964</v>
      </c>
      <c r="D21" s="108">
        <f>+'05'!D20</f>
        <v>962</v>
      </c>
      <c r="E21" s="108">
        <f>+'05'!E20</f>
        <v>963</v>
      </c>
      <c r="F21" s="108">
        <f>+'05'!F20</f>
        <v>970</v>
      </c>
      <c r="G21" s="108">
        <f>+'05'!G20</f>
        <v>980</v>
      </c>
      <c r="H21" s="108">
        <f>+'05'!H20</f>
        <v>980</v>
      </c>
      <c r="I21" s="108" t="str">
        <f>+'05'!I20</f>
        <v/>
      </c>
      <c r="J21" s="108" t="str">
        <f>+'05'!J20</f>
        <v/>
      </c>
      <c r="K21" s="108" t="str">
        <f>+'05'!K20</f>
        <v/>
      </c>
      <c r="L21" s="108" t="str">
        <f>+'05'!L20</f>
        <v/>
      </c>
      <c r="M21" s="108" t="str">
        <f>+'05'!M20</f>
        <v/>
      </c>
      <c r="N21" s="108" t="str">
        <f>+'05'!N20</f>
        <v/>
      </c>
      <c r="O21" s="120">
        <f t="shared" si="4"/>
        <v>5819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2.7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3.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Nataga'!$G20</f>
        <v>Entre 0 y 10%</v>
      </c>
      <c r="E24" s="134"/>
      <c r="F24" s="134"/>
      <c r="G24" s="135"/>
      <c r="H24" s="138" t="str">
        <f>'SET SP Nataga'!$H20</f>
        <v>Entre 11% y el 20%</v>
      </c>
      <c r="I24" s="134"/>
      <c r="J24" s="134"/>
      <c r="K24" s="135"/>
      <c r="L24" s="138" t="str">
        <f>'SET SP Nataga'!$I20</f>
        <v>Mayor al 21%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286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287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288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288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288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288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287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289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290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 t="s">
        <v>167</v>
      </c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5.2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81" t="s">
        <v>291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81" t="s">
        <v>292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8.43"/>
    <col customWidth="1" min="4" max="11" width="7.71"/>
    <col customWidth="1" min="12" max="12" width="8.29"/>
    <col customWidth="1" min="13" max="15" width="7.71"/>
    <col customWidth="1" min="16" max="16" width="6.86"/>
    <col customWidth="1" hidden="1" min="17" max="18" width="6.86"/>
    <col customWidth="1" min="19" max="20" width="6.86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4.2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0" customHeight="1">
      <c r="A3" s="44"/>
      <c r="D3" s="41" t="s">
        <v>293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0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Nataga'!$B21</f>
        <v>Disposición en Relleno Sanitario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Nataga'!F21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Nataga'!A21</f>
        <v>IN14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57.0" customHeight="1">
      <c r="A11" s="87" t="str">
        <f>'SET SP Nataga'!$C21</f>
        <v>Disponer la totalidad de los residuos solidos recolectados en el sitio de disposición final.</v>
      </c>
      <c r="B11" s="63"/>
      <c r="C11" s="63"/>
      <c r="D11" s="65"/>
      <c r="E11" s="88" t="s">
        <v>150</v>
      </c>
      <c r="F11" s="89" t="str">
        <f>'SET SP Nataga'!$D21</f>
        <v>(Residuos sólidos en relleno sanitario / Residuos sólidos producidos)     x 100    %</v>
      </c>
      <c r="G11" s="65"/>
      <c r="H11" s="92">
        <f>$O18</f>
        <v>1</v>
      </c>
      <c r="I11" s="91" t="str">
        <f>'SET SP Nataga'!$E21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">
        <v>154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>
        <f t="shared" ref="C17:N17" si="1">$O$17</f>
        <v>0.95</v>
      </c>
      <c r="D17" s="109">
        <f t="shared" si="1"/>
        <v>0.95</v>
      </c>
      <c r="E17" s="109">
        <f t="shared" si="1"/>
        <v>0.95</v>
      </c>
      <c r="F17" s="109">
        <f t="shared" si="1"/>
        <v>0.95</v>
      </c>
      <c r="G17" s="109">
        <f t="shared" si="1"/>
        <v>0.95</v>
      </c>
      <c r="H17" s="109">
        <f t="shared" si="1"/>
        <v>0.95</v>
      </c>
      <c r="I17" s="109">
        <f t="shared" si="1"/>
        <v>0.95</v>
      </c>
      <c r="J17" s="109">
        <f t="shared" si="1"/>
        <v>0.95</v>
      </c>
      <c r="K17" s="109">
        <f t="shared" si="1"/>
        <v>0.95</v>
      </c>
      <c r="L17" s="109">
        <f t="shared" si="1"/>
        <v>0.95</v>
      </c>
      <c r="M17" s="109">
        <f t="shared" si="1"/>
        <v>0.95</v>
      </c>
      <c r="N17" s="109">
        <f t="shared" si="1"/>
        <v>0.95</v>
      </c>
      <c r="O17" s="166">
        <f>'SET SP Nataga'!J21</f>
        <v>0.95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+'13'!A18:B18</f>
        <v>META  AÑO 2022</v>
      </c>
      <c r="B18" s="58"/>
      <c r="C18" s="109">
        <f t="shared" ref="C18:N18" si="2">$O$18</f>
        <v>1</v>
      </c>
      <c r="D18" s="109">
        <f t="shared" si="2"/>
        <v>1</v>
      </c>
      <c r="E18" s="109">
        <f t="shared" si="2"/>
        <v>1</v>
      </c>
      <c r="F18" s="109">
        <f t="shared" si="2"/>
        <v>1</v>
      </c>
      <c r="G18" s="109">
        <f t="shared" si="2"/>
        <v>1</v>
      </c>
      <c r="H18" s="109">
        <f t="shared" si="2"/>
        <v>1</v>
      </c>
      <c r="I18" s="109">
        <f t="shared" si="2"/>
        <v>1</v>
      </c>
      <c r="J18" s="109">
        <f t="shared" si="2"/>
        <v>1</v>
      </c>
      <c r="K18" s="109">
        <f t="shared" si="2"/>
        <v>1</v>
      </c>
      <c r="L18" s="109">
        <f t="shared" si="2"/>
        <v>1</v>
      </c>
      <c r="M18" s="109">
        <f t="shared" si="2"/>
        <v>1</v>
      </c>
      <c r="N18" s="109">
        <f t="shared" si="2"/>
        <v>1</v>
      </c>
      <c r="O18" s="166">
        <f>'SET SP Nataga'!K21</f>
        <v>1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82">
        <f t="shared" ref="C19:O19" si="3">IF(ISNUMBER(C21),C20/C21,"-")</f>
        <v>0.9639175258</v>
      </c>
      <c r="D19" s="182">
        <f t="shared" si="3"/>
        <v>0.9618556701</v>
      </c>
      <c r="E19" s="182" t="str">
        <f t="shared" si="3"/>
        <v>-</v>
      </c>
      <c r="F19" s="182" t="str">
        <f t="shared" si="3"/>
        <v>-</v>
      </c>
      <c r="G19" s="182" t="str">
        <f t="shared" si="3"/>
        <v>-</v>
      </c>
      <c r="H19" s="182" t="str">
        <f t="shared" si="3"/>
        <v>-</v>
      </c>
      <c r="I19" s="182" t="str">
        <f t="shared" si="3"/>
        <v>-</v>
      </c>
      <c r="J19" s="182" t="str">
        <f t="shared" si="3"/>
        <v>-</v>
      </c>
      <c r="K19" s="182" t="str">
        <f t="shared" si="3"/>
        <v>-</v>
      </c>
      <c r="L19" s="182" t="str">
        <f t="shared" si="3"/>
        <v>-</v>
      </c>
      <c r="M19" s="182" t="str">
        <f t="shared" si="3"/>
        <v>-</v>
      </c>
      <c r="N19" s="182" t="str">
        <f t="shared" si="3"/>
        <v>-</v>
      </c>
      <c r="O19" s="183" t="str">
        <f t="shared" si="3"/>
        <v>-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8.0" customHeight="1">
      <c r="A20" s="116" t="s">
        <v>159</v>
      </c>
      <c r="B20" s="117" t="s">
        <v>294</v>
      </c>
      <c r="C20" s="184">
        <f>+'07'!C20</f>
        <v>24.05</v>
      </c>
      <c r="D20" s="184">
        <f>+'07'!D20</f>
        <v>26.82</v>
      </c>
      <c r="E20" s="184" t="str">
        <f>+'07'!E20</f>
        <v>26.27</v>
      </c>
      <c r="F20" s="184" t="str">
        <f>+'07'!F20</f>
        <v>28.36</v>
      </c>
      <c r="G20" s="184" t="str">
        <f>+'07'!G20</f>
        <v>27.99</v>
      </c>
      <c r="H20" s="184" t="str">
        <f>+'07'!H20</f>
        <v>27.82</v>
      </c>
      <c r="I20" s="184" t="str">
        <f>+'07'!I20</f>
        <v/>
      </c>
      <c r="J20" s="184" t="str">
        <f>+'07'!J20</f>
        <v/>
      </c>
      <c r="K20" s="184" t="str">
        <f>+'07'!K20</f>
        <v/>
      </c>
      <c r="L20" s="184" t="str">
        <f>+'07'!L20</f>
        <v/>
      </c>
      <c r="M20" s="184" t="str">
        <f>+'07'!M20</f>
        <v/>
      </c>
      <c r="N20" s="184">
        <f>+'07'!N20</f>
        <v>41.83</v>
      </c>
      <c r="O20" s="185">
        <f t="shared" ref="O20:O21" si="4">SUM(C20:N20)</f>
        <v>92.7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4.25" customHeight="1">
      <c r="A21" s="121"/>
      <c r="B21" s="117" t="s">
        <v>237</v>
      </c>
      <c r="C21" s="184">
        <f>+'07'!C21</f>
        <v>24.95026738</v>
      </c>
      <c r="D21" s="184">
        <f>+'07'!D21</f>
        <v>27.88360129</v>
      </c>
      <c r="E21" s="184" t="str">
        <f>+'07'!E21</f>
        <v>#VALUE!</v>
      </c>
      <c r="F21" s="184" t="str">
        <f>+'07'!F21</f>
        <v>#VALUE!</v>
      </c>
      <c r="G21" s="184" t="str">
        <f>+'07'!G21</f>
        <v>#VALUE!</v>
      </c>
      <c r="H21" s="184" t="str">
        <f>+'07'!H21</f>
        <v>#VALUE!</v>
      </c>
      <c r="I21" s="184" t="str">
        <f>+'07'!I21</f>
        <v>#VALUE!</v>
      </c>
      <c r="J21" s="184" t="str">
        <f>+'07'!J21</f>
        <v>#VALUE!</v>
      </c>
      <c r="K21" s="184" t="str">
        <f>+'07'!K21</f>
        <v>#VALUE!</v>
      </c>
      <c r="L21" s="184" t="str">
        <f>+'07'!L21</f>
        <v>#VALUE!</v>
      </c>
      <c r="M21" s="184" t="str">
        <f>+'07'!M21</f>
        <v>#VALUE!</v>
      </c>
      <c r="N21" s="184" t="str">
        <f>+'07'!N21</f>
        <v>#VALUE!</v>
      </c>
      <c r="O21" s="185" t="str">
        <f t="shared" si="4"/>
        <v>#VALUE!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2.7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3.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Nataga'!$G21</f>
        <v>Entre 91% y 100%</v>
      </c>
      <c r="E24" s="134"/>
      <c r="F24" s="134"/>
      <c r="G24" s="135"/>
      <c r="H24" s="138" t="str">
        <f>'SET SP Nataga'!$H21</f>
        <v>Entre 71% y 90%</v>
      </c>
      <c r="I24" s="134"/>
      <c r="J24" s="134"/>
      <c r="K24" s="135"/>
      <c r="L24" s="138" t="str">
        <f>'SET SP Nataga'!$I21</f>
        <v>Menor al 70%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295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296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297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280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280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280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280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298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299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 t="s">
        <v>167</v>
      </c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5.2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60">
        <v>0.98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60">
        <v>1.0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21.14"/>
    <col customWidth="1" min="3" max="3" width="12.71"/>
    <col customWidth="1" min="4" max="6" width="11.29"/>
    <col customWidth="1" min="7" max="7" width="15.14"/>
    <col customWidth="1" min="8" max="8" width="11.29"/>
    <col customWidth="1" min="9" max="9" width="14.29"/>
    <col customWidth="1" min="10" max="10" width="11.29"/>
    <col customWidth="1" min="11" max="11" width="12.57"/>
    <col customWidth="1" min="12" max="14" width="11.29"/>
    <col customWidth="1" min="15" max="15" width="13.0"/>
    <col customWidth="1" min="16" max="16" width="18.43"/>
    <col customWidth="1" min="17" max="17" width="15.29"/>
    <col customWidth="1" min="18" max="26" width="11.43"/>
  </cols>
  <sheetData>
    <row r="1" ht="12.75" customHeight="1">
      <c r="A1" s="186" t="s">
        <v>300</v>
      </c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ht="12.75" customHeight="1">
      <c r="A2" s="187" t="s">
        <v>301</v>
      </c>
      <c r="C2" s="188"/>
      <c r="D2" s="86"/>
      <c r="E2" s="186" t="s">
        <v>302</v>
      </c>
      <c r="G2" s="189" t="s">
        <v>0</v>
      </c>
      <c r="H2" s="81"/>
      <c r="I2" s="81"/>
      <c r="J2" s="81"/>
      <c r="K2" s="81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ht="12.75" customHeight="1">
      <c r="A3" s="190"/>
      <c r="B3" s="191"/>
      <c r="C3" s="190"/>
      <c r="D3" s="86"/>
      <c r="E3" s="86"/>
      <c r="F3" s="86"/>
      <c r="G3" s="86"/>
      <c r="H3" s="86"/>
      <c r="I3" s="86"/>
      <c r="J3" s="86"/>
      <c r="K3" s="86"/>
      <c r="L3" s="86"/>
      <c r="M3" s="86"/>
      <c r="N3" s="192">
        <f>+M6-N6</f>
        <v>0</v>
      </c>
      <c r="O3" s="86"/>
      <c r="P3" s="86"/>
      <c r="Q3" s="193"/>
      <c r="R3" s="86"/>
      <c r="S3" s="86"/>
      <c r="T3" s="86"/>
      <c r="U3" s="86"/>
      <c r="V3" s="86"/>
      <c r="W3" s="86"/>
      <c r="X3" s="86"/>
      <c r="Y3" s="86"/>
      <c r="Z3" s="86"/>
    </row>
    <row r="4" ht="18.75" customHeight="1">
      <c r="A4" s="194" t="s">
        <v>303</v>
      </c>
      <c r="B4" s="58"/>
      <c r="C4" s="195" t="s">
        <v>304</v>
      </c>
      <c r="D4" s="196">
        <v>46023.0</v>
      </c>
      <c r="E4" s="196">
        <v>46054.0</v>
      </c>
      <c r="F4" s="196">
        <v>46082.0</v>
      </c>
      <c r="G4" s="196">
        <v>46113.0</v>
      </c>
      <c r="H4" s="196">
        <v>46143.0</v>
      </c>
      <c r="I4" s="196">
        <v>46174.0</v>
      </c>
      <c r="J4" s="196">
        <v>46204.0</v>
      </c>
      <c r="K4" s="196">
        <v>46235.0</v>
      </c>
      <c r="L4" s="196">
        <v>46266.0</v>
      </c>
      <c r="M4" s="196">
        <v>46296.0</v>
      </c>
      <c r="N4" s="196">
        <v>46327.0</v>
      </c>
      <c r="O4" s="196">
        <v>46357.0</v>
      </c>
      <c r="P4" s="86"/>
      <c r="Q4" s="193"/>
      <c r="R4" s="86"/>
      <c r="S4" s="86"/>
      <c r="T4" s="86"/>
      <c r="U4" s="86"/>
      <c r="V4" s="86"/>
      <c r="W4" s="86"/>
      <c r="X4" s="86"/>
      <c r="Y4" s="86"/>
      <c r="Z4" s="86"/>
    </row>
    <row r="5" ht="12.75" customHeight="1">
      <c r="A5" s="197">
        <v>1.0</v>
      </c>
      <c r="B5" s="198" t="s">
        <v>305</v>
      </c>
      <c r="C5" s="199" t="s">
        <v>305</v>
      </c>
      <c r="D5" s="200">
        <v>970.0</v>
      </c>
      <c r="E5" s="200">
        <v>970.0</v>
      </c>
      <c r="F5" s="200">
        <v>970.0</v>
      </c>
      <c r="G5" s="200">
        <v>970.0</v>
      </c>
      <c r="H5" s="200">
        <v>981.0</v>
      </c>
      <c r="I5" s="200">
        <v>981.0</v>
      </c>
      <c r="J5" s="201"/>
      <c r="K5" s="201"/>
      <c r="L5" s="200"/>
      <c r="M5" s="201"/>
      <c r="N5" s="201"/>
      <c r="O5" s="202"/>
      <c r="P5" s="192"/>
      <c r="Q5" s="193"/>
      <c r="R5" s="86"/>
      <c r="S5" s="86"/>
      <c r="T5" s="86"/>
      <c r="U5" s="86"/>
      <c r="V5" s="86"/>
      <c r="W5" s="86"/>
      <c r="X5" s="86"/>
      <c r="Y5" s="86"/>
      <c r="Z5" s="86"/>
    </row>
    <row r="6" ht="12.75" customHeight="1">
      <c r="A6" s="203">
        <v>2.0</v>
      </c>
      <c r="B6" s="204" t="s">
        <v>306</v>
      </c>
      <c r="C6" s="205" t="s">
        <v>307</v>
      </c>
      <c r="D6" s="206">
        <v>964.0</v>
      </c>
      <c r="E6" s="206">
        <v>962.0</v>
      </c>
      <c r="F6" s="206">
        <v>963.0</v>
      </c>
      <c r="G6" s="206">
        <v>970.0</v>
      </c>
      <c r="H6" s="207">
        <v>980.0</v>
      </c>
      <c r="I6" s="207">
        <v>980.0</v>
      </c>
      <c r="J6" s="207"/>
      <c r="K6" s="207"/>
      <c r="L6" s="206"/>
      <c r="M6" s="206"/>
      <c r="N6" s="207"/>
      <c r="O6" s="208"/>
      <c r="P6" s="192"/>
      <c r="Q6" s="209"/>
      <c r="R6" s="86"/>
      <c r="S6" s="86"/>
      <c r="T6" s="86"/>
      <c r="U6" s="86"/>
      <c r="V6" s="86"/>
      <c r="W6" s="86"/>
      <c r="X6" s="86"/>
      <c r="Y6" s="86"/>
      <c r="Z6" s="86"/>
    </row>
    <row r="7" ht="12.75" customHeight="1">
      <c r="A7" s="197">
        <v>3.0</v>
      </c>
      <c r="B7" s="198" t="s">
        <v>308</v>
      </c>
      <c r="C7" s="199" t="s">
        <v>307</v>
      </c>
      <c r="D7" s="200">
        <v>936.0</v>
      </c>
      <c r="E7" s="200">
        <v>934.0</v>
      </c>
      <c r="F7" s="200">
        <v>935.0</v>
      </c>
      <c r="G7" s="200">
        <v>942.0</v>
      </c>
      <c r="H7" s="201">
        <v>952.0</v>
      </c>
      <c r="I7" s="201">
        <v>952.0</v>
      </c>
      <c r="J7" s="201"/>
      <c r="K7" s="201"/>
      <c r="L7" s="200"/>
      <c r="M7" s="200"/>
      <c r="N7" s="201"/>
      <c r="O7" s="202"/>
      <c r="P7" s="192"/>
      <c r="Q7" s="86"/>
      <c r="R7" s="86"/>
      <c r="S7" s="86"/>
      <c r="T7" s="86"/>
      <c r="U7" s="86"/>
      <c r="V7" s="86"/>
      <c r="W7" s="86"/>
      <c r="X7" s="86"/>
      <c r="Y7" s="86"/>
      <c r="Z7" s="86"/>
    </row>
    <row r="8" ht="12.75" customHeight="1">
      <c r="A8" s="203">
        <v>4.0</v>
      </c>
      <c r="B8" s="204" t="s">
        <v>309</v>
      </c>
      <c r="C8" s="205" t="s">
        <v>307</v>
      </c>
      <c r="D8" s="206">
        <v>935.0</v>
      </c>
      <c r="E8" s="206">
        <v>933.0</v>
      </c>
      <c r="F8" s="206">
        <v>934.0</v>
      </c>
      <c r="G8" s="206">
        <v>941.0</v>
      </c>
      <c r="H8" s="207">
        <v>951.0</v>
      </c>
      <c r="I8" s="207">
        <v>951.0</v>
      </c>
      <c r="J8" s="207"/>
      <c r="K8" s="207"/>
      <c r="L8" s="206"/>
      <c r="M8" s="206"/>
      <c r="N8" s="207"/>
      <c r="O8" s="208"/>
      <c r="P8" s="192"/>
      <c r="Q8" s="86"/>
      <c r="R8" s="86"/>
      <c r="S8" s="86"/>
      <c r="T8" s="86"/>
      <c r="U8" s="86"/>
      <c r="V8" s="86"/>
      <c r="W8" s="86"/>
      <c r="X8" s="86"/>
      <c r="Y8" s="86"/>
      <c r="Z8" s="86"/>
    </row>
    <row r="9" ht="12.75" customHeight="1">
      <c r="A9" s="210">
        <v>5.0</v>
      </c>
      <c r="B9" s="211" t="s">
        <v>310</v>
      </c>
      <c r="C9" s="212" t="s">
        <v>311</v>
      </c>
      <c r="D9" s="213">
        <v>16728.0</v>
      </c>
      <c r="E9" s="213">
        <v>13756.0</v>
      </c>
      <c r="F9" s="213">
        <v>18145.0</v>
      </c>
      <c r="G9" s="213">
        <v>15090.0</v>
      </c>
      <c r="H9" s="213">
        <v>15839.0</v>
      </c>
      <c r="I9" s="213">
        <v>15349.0</v>
      </c>
      <c r="J9" s="214"/>
      <c r="K9" s="213"/>
      <c r="L9" s="213"/>
      <c r="M9" s="213"/>
      <c r="N9" s="215"/>
      <c r="O9" s="215"/>
      <c r="P9" s="216">
        <f t="shared" ref="P9:P19" si="1">SUM(D9:O9)</f>
        <v>94907</v>
      </c>
      <c r="Q9" s="217"/>
      <c r="R9" s="217"/>
      <c r="S9" s="217"/>
      <c r="T9" s="217"/>
      <c r="U9" s="218"/>
      <c r="V9" s="219"/>
      <c r="W9" s="219"/>
      <c r="X9" s="219"/>
      <c r="Y9" s="219"/>
      <c r="Z9" s="219"/>
    </row>
    <row r="10" ht="12.75" customHeight="1">
      <c r="A10" s="203">
        <v>6.0</v>
      </c>
      <c r="B10" s="204" t="s">
        <v>312</v>
      </c>
      <c r="C10" s="205" t="s">
        <v>311</v>
      </c>
      <c r="D10" s="206">
        <f>8393+91</f>
        <v>8484</v>
      </c>
      <c r="E10" s="206">
        <f>12084+104</f>
        <v>12188</v>
      </c>
      <c r="F10" s="206">
        <f>8907+167</f>
        <v>9074</v>
      </c>
      <c r="G10" s="206">
        <f>9634+15</f>
        <v>9649</v>
      </c>
      <c r="H10" s="206">
        <f>9891+169</f>
        <v>10060</v>
      </c>
      <c r="I10" s="207">
        <f>9642+156</f>
        <v>9798</v>
      </c>
      <c r="J10" s="207"/>
      <c r="K10" s="207"/>
      <c r="L10" s="207"/>
      <c r="M10" s="207"/>
      <c r="N10" s="207"/>
      <c r="O10" s="208"/>
      <c r="P10" s="216">
        <f t="shared" si="1"/>
        <v>59253</v>
      </c>
      <c r="Q10" s="220"/>
      <c r="R10" s="220"/>
      <c r="S10" s="220"/>
      <c r="T10" s="220"/>
      <c r="U10" s="221"/>
      <c r="V10" s="86"/>
      <c r="W10" s="86"/>
      <c r="X10" s="86"/>
      <c r="Y10" s="86"/>
      <c r="Z10" s="86"/>
    </row>
    <row r="11" ht="12.75" customHeight="1">
      <c r="A11" s="197">
        <v>7.0</v>
      </c>
      <c r="B11" s="198" t="s">
        <v>313</v>
      </c>
      <c r="C11" s="199" t="s">
        <v>314</v>
      </c>
      <c r="D11" s="200">
        <f>6574+1167+503</f>
        <v>8244</v>
      </c>
      <c r="E11" s="200">
        <f>7893+2654+1237</f>
        <v>11784</v>
      </c>
      <c r="F11" s="200">
        <f>6851+1347+645</f>
        <v>8843</v>
      </c>
      <c r="G11" s="200">
        <f>7184+1603+807</f>
        <v>9594</v>
      </c>
      <c r="H11" s="200">
        <f>7077+1729+1056</f>
        <v>9862</v>
      </c>
      <c r="I11" s="201">
        <f>6941+1480+1212</f>
        <v>9633</v>
      </c>
      <c r="J11" s="201"/>
      <c r="K11" s="201"/>
      <c r="L11" s="201"/>
      <c r="M11" s="201"/>
      <c r="N11" s="215"/>
      <c r="O11" s="201"/>
      <c r="P11" s="216">
        <f t="shared" si="1"/>
        <v>57960</v>
      </c>
      <c r="Q11" s="220"/>
      <c r="R11" s="220"/>
      <c r="S11" s="220"/>
      <c r="T11" s="220"/>
      <c r="U11" s="221"/>
      <c r="V11" s="86"/>
      <c r="W11" s="86"/>
      <c r="X11" s="86"/>
      <c r="Y11" s="86"/>
      <c r="Z11" s="86"/>
    </row>
    <row r="12" ht="12.75" hidden="1" customHeight="1">
      <c r="A12" s="203">
        <v>8.0</v>
      </c>
      <c r="B12" s="204" t="s">
        <v>315</v>
      </c>
      <c r="C12" s="205" t="s">
        <v>314</v>
      </c>
      <c r="D12" s="206"/>
      <c r="E12" s="200"/>
      <c r="F12" s="200"/>
      <c r="G12" s="200"/>
      <c r="H12" s="201"/>
      <c r="I12" s="201"/>
      <c r="J12" s="201"/>
      <c r="K12" s="201"/>
      <c r="L12" s="206"/>
      <c r="M12" s="201"/>
      <c r="N12" s="201"/>
      <c r="O12" s="201"/>
      <c r="P12" s="216">
        <f t="shared" si="1"/>
        <v>0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</row>
    <row r="13" ht="10.5" hidden="1" customHeight="1">
      <c r="A13" s="197">
        <v>9.0</v>
      </c>
      <c r="B13" s="198" t="s">
        <v>316</v>
      </c>
      <c r="C13" s="199" t="s">
        <v>314</v>
      </c>
      <c r="D13" s="200"/>
      <c r="E13" s="200"/>
      <c r="F13" s="200"/>
      <c r="G13" s="200"/>
      <c r="H13" s="201"/>
      <c r="I13" s="201"/>
      <c r="J13" s="201"/>
      <c r="K13" s="201"/>
      <c r="L13" s="200"/>
      <c r="M13" s="201"/>
      <c r="N13" s="201"/>
      <c r="O13" s="201"/>
      <c r="P13" s="216">
        <f t="shared" si="1"/>
        <v>0</v>
      </c>
      <c r="Q13" s="86"/>
      <c r="R13" s="86"/>
      <c r="S13" s="86"/>
      <c r="T13" s="86"/>
      <c r="U13" s="86"/>
      <c r="V13" s="86"/>
      <c r="W13" s="86"/>
      <c r="X13" s="86"/>
      <c r="Y13" s="86"/>
      <c r="Z13" s="86"/>
    </row>
    <row r="14" ht="31.5" customHeight="1">
      <c r="A14" s="203">
        <v>10.0</v>
      </c>
      <c r="B14" s="204" t="s">
        <v>317</v>
      </c>
      <c r="C14" s="205" t="s">
        <v>314</v>
      </c>
      <c r="D14" s="206">
        <f>6649230+7672077+105997+407000+327-1049</f>
        <v>14833582</v>
      </c>
      <c r="E14" s="206">
        <f>6634192+11730443+112781+185000+327-1166</f>
        <v>18661577</v>
      </c>
      <c r="F14" s="206">
        <f>6641711+8256350+82180+40909+327-663</f>
        <v>15020814</v>
      </c>
      <c r="G14" s="206">
        <f>6683600+9036765+72325+368181-13673-905</f>
        <v>16146293</v>
      </c>
      <c r="H14" s="206">
        <f>6753418+9413633+129118+531817+31317+327-733</f>
        <v>16858897</v>
      </c>
      <c r="I14" s="207">
        <f>6753418+9201694+115925+204545+327-1563</f>
        <v>16274346</v>
      </c>
      <c r="J14" s="207">
        <f>6753418+9291645+131596+163636+327-1014</f>
        <v>16339608</v>
      </c>
      <c r="K14" s="207"/>
      <c r="L14" s="206"/>
      <c r="M14" s="207"/>
      <c r="N14" s="207"/>
      <c r="O14" s="208"/>
      <c r="P14" s="192">
        <f t="shared" si="1"/>
        <v>114135117</v>
      </c>
      <c r="Q14" s="222"/>
      <c r="R14" s="86"/>
      <c r="S14" s="86"/>
      <c r="T14" s="86"/>
      <c r="U14" s="86"/>
      <c r="V14" s="86"/>
      <c r="W14" s="86"/>
      <c r="X14" s="86"/>
      <c r="Y14" s="86"/>
      <c r="Z14" s="86"/>
    </row>
    <row r="15" ht="24.0" customHeight="1">
      <c r="A15" s="197">
        <v>11.0</v>
      </c>
      <c r="B15" s="198" t="s">
        <v>318</v>
      </c>
      <c r="C15" s="199" t="s">
        <v>314</v>
      </c>
      <c r="D15" s="200">
        <f>5530008+6285051+88959+370000+327-790</f>
        <v>12273555</v>
      </c>
      <c r="E15" s="200">
        <f>2750+5788454+10523144+107264+148000-810</f>
        <v>16568802</v>
      </c>
      <c r="F15" s="200">
        <f>5827541+7358120+77516+327-441</f>
        <v>13263063</v>
      </c>
      <c r="G15" s="200">
        <f>5218385+7023391+72577+245454-404</f>
        <v>12559403</v>
      </c>
      <c r="H15" s="201">
        <f>5738386+7503674+118127+531817+31317+327-294</f>
        <v>13923354</v>
      </c>
      <c r="I15" s="201">
        <f>5422068+7718445+94067+122727-921</f>
        <v>13356386</v>
      </c>
      <c r="J15" s="201"/>
      <c r="K15" s="201"/>
      <c r="L15" s="200"/>
      <c r="M15" s="201"/>
      <c r="N15" s="223"/>
      <c r="O15" s="223"/>
      <c r="P15" s="192">
        <f t="shared" si="1"/>
        <v>81944563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</row>
    <row r="16" ht="12.75" customHeight="1">
      <c r="A16" s="203">
        <v>12.0</v>
      </c>
      <c r="B16" s="204" t="s">
        <v>319</v>
      </c>
      <c r="C16" s="205" t="s">
        <v>314</v>
      </c>
      <c r="D16" s="206">
        <f>3298002+3443145+269500</f>
        <v>7010647</v>
      </c>
      <c r="E16" s="206">
        <f>3290320+5222360+122500</f>
        <v>8635180</v>
      </c>
      <c r="F16" s="206">
        <f>3294161+3717020+27088</f>
        <v>7038269</v>
      </c>
      <c r="G16" s="206">
        <f>3315560+4093667+243797</f>
        <v>7653024</v>
      </c>
      <c r="H16" s="206">
        <f>3351226+4267287+352152</f>
        <v>7970665</v>
      </c>
      <c r="I16" s="207">
        <f>3351226+4179233+135445</f>
        <v>7665904</v>
      </c>
      <c r="J16" s="207">
        <f>3351226+4177732+108356</f>
        <v>7637314</v>
      </c>
      <c r="K16" s="207"/>
      <c r="L16" s="206"/>
      <c r="M16" s="207"/>
      <c r="N16" s="207"/>
      <c r="O16" s="208"/>
      <c r="P16" s="192">
        <f t="shared" si="1"/>
        <v>53611003</v>
      </c>
      <c r="Q16" s="222"/>
      <c r="R16" s="86"/>
      <c r="S16" s="86"/>
      <c r="T16" s="86"/>
      <c r="U16" s="86"/>
      <c r="V16" s="86"/>
      <c r="W16" s="86"/>
      <c r="X16" s="86"/>
      <c r="Y16" s="86"/>
      <c r="Z16" s="86"/>
    </row>
    <row r="17" ht="12.75" customHeight="1">
      <c r="A17" s="197">
        <v>13.0</v>
      </c>
      <c r="B17" s="198" t="s">
        <v>320</v>
      </c>
      <c r="C17" s="199" t="s">
        <v>314</v>
      </c>
      <c r="D17" s="200">
        <f>2742709+2824443+245000</f>
        <v>5812152</v>
      </c>
      <c r="E17" s="200">
        <f>2870281+4679282+98000</f>
        <v>7647563</v>
      </c>
      <c r="F17" s="200">
        <f>2883728+3302845</f>
        <v>6186573</v>
      </c>
      <c r="G17" s="200">
        <f>2588524+3177256+162532</f>
        <v>5928312</v>
      </c>
      <c r="H17" s="201">
        <f>2851356+3397778+352152</f>
        <v>6601286</v>
      </c>
      <c r="I17" s="201">
        <f>2691678+3501880+81267</f>
        <v>6274825</v>
      </c>
      <c r="J17" s="201"/>
      <c r="K17" s="201"/>
      <c r="L17" s="200"/>
      <c r="M17" s="201"/>
      <c r="N17" s="223"/>
      <c r="O17" s="223"/>
      <c r="P17" s="192">
        <f t="shared" si="1"/>
        <v>38450711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</row>
    <row r="18" ht="12.75" customHeight="1">
      <c r="A18" s="203">
        <v>14.0</v>
      </c>
      <c r="B18" s="204" t="s">
        <v>321</v>
      </c>
      <c r="C18" s="205" t="s">
        <v>314</v>
      </c>
      <c r="D18" s="206">
        <v>5778199.0</v>
      </c>
      <c r="E18" s="206">
        <v>5764771.0</v>
      </c>
      <c r="F18" s="206">
        <v>5767042.0</v>
      </c>
      <c r="G18" s="206">
        <v>5804448.0</v>
      </c>
      <c r="H18" s="206">
        <v>5866792.0</v>
      </c>
      <c r="I18" s="207">
        <v>5869190.0</v>
      </c>
      <c r="J18" s="207">
        <v>5869190.0</v>
      </c>
      <c r="K18" s="207"/>
      <c r="L18" s="206"/>
      <c r="M18" s="207"/>
      <c r="N18" s="207"/>
      <c r="O18" s="208"/>
      <c r="P18" s="192">
        <f t="shared" si="1"/>
        <v>40719632</v>
      </c>
      <c r="Q18" s="222"/>
      <c r="R18" s="86"/>
      <c r="S18" s="86"/>
      <c r="T18" s="86"/>
      <c r="U18" s="86"/>
      <c r="V18" s="86"/>
      <c r="W18" s="86"/>
      <c r="X18" s="86"/>
      <c r="Y18" s="86"/>
      <c r="Z18" s="86"/>
    </row>
    <row r="19" ht="12.75" customHeight="1">
      <c r="A19" s="197">
        <v>15.0</v>
      </c>
      <c r="B19" s="198" t="s">
        <v>322</v>
      </c>
      <c r="C19" s="199" t="s">
        <v>314</v>
      </c>
      <c r="D19" s="200">
        <v>4792693.0</v>
      </c>
      <c r="E19" s="200">
        <v>5042717.0</v>
      </c>
      <c r="F19" s="200">
        <v>5063522.0</v>
      </c>
      <c r="G19" s="200">
        <v>4526898.0</v>
      </c>
      <c r="H19" s="201">
        <v>5018240.0</v>
      </c>
      <c r="I19" s="201">
        <v>4705289.0</v>
      </c>
      <c r="J19" s="201"/>
      <c r="K19" s="201"/>
      <c r="L19" s="200"/>
      <c r="M19" s="201"/>
      <c r="N19" s="223"/>
      <c r="O19" s="223"/>
      <c r="P19" s="192">
        <f t="shared" si="1"/>
        <v>29149359</v>
      </c>
      <c r="Q19" s="224"/>
      <c r="R19" s="225"/>
      <c r="S19" s="225"/>
      <c r="T19" s="225"/>
      <c r="U19" s="225"/>
      <c r="V19" s="225"/>
      <c r="W19" s="225"/>
      <c r="X19" s="225"/>
      <c r="Y19" s="225"/>
      <c r="Z19" s="225"/>
    </row>
    <row r="20" ht="12.75" customHeight="1">
      <c r="A20" s="203">
        <v>16.0</v>
      </c>
      <c r="B20" s="204" t="s">
        <v>323</v>
      </c>
      <c r="C20" s="205" t="s">
        <v>314</v>
      </c>
      <c r="D20" s="206">
        <f>1265873+1472255+45636+18200+34164-227010+327-73</f>
        <v>2609372</v>
      </c>
      <c r="E20" s="206">
        <f>1313708+1639205+52226+37000+18200+34164+24500-297550+32</f>
        <v>2821485</v>
      </c>
      <c r="F20" s="206">
        <f>917240+1239244+43793+37000+18200+34164+24500-160782+327-121</f>
        <v>2153565</v>
      </c>
      <c r="G20" s="206">
        <f>893191+928375+47739+40909+18200+34164+27088-733896-31</f>
        <v>1255739</v>
      </c>
      <c r="H20" s="206">
        <f>1519668+1761231+66362+163636+18200+34164+108353-264750+327-164</f>
        <v>3407027</v>
      </c>
      <c r="I20" s="207">
        <f>1139912+1982125+61626+81818+18200+34164+54176-109226-187</f>
        <v>3262608</v>
      </c>
      <c r="J20" s="207">
        <f>1552153+1690240+82652+163636+18200+34164+108354-23602+327-330</f>
        <v>3625794</v>
      </c>
      <c r="K20" s="207"/>
      <c r="L20" s="206"/>
      <c r="M20" s="207"/>
      <c r="N20" s="207"/>
      <c r="O20" s="226"/>
      <c r="P20" s="86"/>
      <c r="Q20" s="227"/>
      <c r="R20" s="86"/>
      <c r="S20" s="86"/>
      <c r="T20" s="86"/>
      <c r="U20" s="86"/>
      <c r="V20" s="86"/>
      <c r="W20" s="86"/>
      <c r="X20" s="86"/>
      <c r="Y20" s="86"/>
      <c r="Z20" s="86"/>
    </row>
    <row r="21" ht="12.75" customHeight="1">
      <c r="A21" s="197">
        <v>17.0</v>
      </c>
      <c r="B21" s="198" t="s">
        <v>324</v>
      </c>
      <c r="C21" s="199" t="s">
        <v>314</v>
      </c>
      <c r="D21" s="200">
        <f>1066016+1236986+10448+327-252</f>
        <v>2313525</v>
      </c>
      <c r="E21" s="200">
        <f>1229854+1600605+13950+37000-115450-138</f>
        <v>2765821</v>
      </c>
      <c r="F21" s="200">
        <f>858493+1214210+1926+37000-59550+327-278</f>
        <v>2052128</v>
      </c>
      <c r="G21" s="200">
        <f>787692+1152630+1382-389596-178</f>
        <v>1551930</v>
      </c>
      <c r="H21" s="201">
        <f>1404444+1689948+15727+81818-180050+327-349</f>
        <v>3011865</v>
      </c>
      <c r="I21" s="201">
        <f>887960+1754745+832-25800-196</f>
        <v>2617541</v>
      </c>
      <c r="J21" s="201"/>
      <c r="K21" s="201"/>
      <c r="L21" s="200"/>
      <c r="M21" s="201"/>
      <c r="N21" s="201"/>
      <c r="O21" s="201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</row>
    <row r="22" ht="12.75" customHeight="1">
      <c r="A22" s="203">
        <v>18.0</v>
      </c>
      <c r="B22" s="204" t="s">
        <v>325</v>
      </c>
      <c r="C22" s="205" t="s">
        <v>314</v>
      </c>
      <c r="D22" s="206">
        <f>639012+673544</f>
        <v>1312556</v>
      </c>
      <c r="E22" s="206">
        <f>652179+732925</f>
        <v>1385104</v>
      </c>
      <c r="F22" s="206">
        <f>460411+559753</f>
        <v>1020164</v>
      </c>
      <c r="G22" s="206">
        <f>450805+428114</f>
        <v>878919</v>
      </c>
      <c r="H22" s="206">
        <f>747929+800190</f>
        <v>1548119</v>
      </c>
      <c r="I22" s="207">
        <f>558075+902824</f>
        <v>1460899</v>
      </c>
      <c r="J22" s="207">
        <f>764390+769115</f>
        <v>1533505</v>
      </c>
      <c r="K22" s="207"/>
      <c r="L22" s="206"/>
      <c r="M22" s="207"/>
      <c r="N22" s="207"/>
      <c r="O22" s="22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ht="12.75" customHeight="1">
      <c r="A23" s="197">
        <v>19.0</v>
      </c>
      <c r="B23" s="198" t="s">
        <v>326</v>
      </c>
      <c r="C23" s="199" t="s">
        <v>314</v>
      </c>
      <c r="D23" s="200">
        <f>539381+567118</f>
        <v>1106499</v>
      </c>
      <c r="E23" s="200">
        <f>609338+715087+24500</f>
        <v>1348925</v>
      </c>
      <c r="F23" s="200">
        <f>425526+548171+24500</f>
        <v>998197</v>
      </c>
      <c r="G23" s="200">
        <f>406866+531475</f>
        <v>938341</v>
      </c>
      <c r="H23" s="201">
        <f>694663+767282+54177</f>
        <v>1516122</v>
      </c>
      <c r="I23" s="201">
        <f>434849+797941</f>
        <v>1232790</v>
      </c>
      <c r="J23" s="201"/>
      <c r="K23" s="201"/>
      <c r="L23" s="200"/>
      <c r="M23" s="201"/>
      <c r="N23" s="201"/>
      <c r="O23" s="201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</row>
    <row r="24" ht="12.75" customHeight="1">
      <c r="A24" s="203">
        <v>20.0</v>
      </c>
      <c r="B24" s="204" t="s">
        <v>327</v>
      </c>
      <c r="C24" s="205" t="s">
        <v>314</v>
      </c>
      <c r="D24" s="206">
        <v>1094070.0</v>
      </c>
      <c r="E24" s="206">
        <v>1145037.0</v>
      </c>
      <c r="F24" s="206">
        <v>792475.0</v>
      </c>
      <c r="G24" s="206">
        <v>773921.0</v>
      </c>
      <c r="H24" s="206">
        <v>1324798.0</v>
      </c>
      <c r="I24" s="207">
        <v>950091.0</v>
      </c>
      <c r="J24" s="207">
        <v>1342439.0</v>
      </c>
      <c r="K24" s="207"/>
      <c r="L24" s="206"/>
      <c r="M24" s="207"/>
      <c r="N24" s="207"/>
      <c r="O24" s="22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ht="12.75" customHeight="1">
      <c r="A25" s="197">
        <v>21.0</v>
      </c>
      <c r="B25" s="198" t="s">
        <v>328</v>
      </c>
      <c r="C25" s="199" t="s">
        <v>314</v>
      </c>
      <c r="D25" s="200">
        <v>934876.0</v>
      </c>
      <c r="E25" s="200">
        <v>1073122.0</v>
      </c>
      <c r="F25" s="200">
        <v>731617.0</v>
      </c>
      <c r="G25" s="200">
        <v>690266.0</v>
      </c>
      <c r="H25" s="201">
        <v>1231833.0</v>
      </c>
      <c r="I25" s="201">
        <v>739169.0</v>
      </c>
      <c r="J25" s="201"/>
      <c r="K25" s="201"/>
      <c r="L25" s="200"/>
      <c r="M25" s="201"/>
      <c r="N25" s="201"/>
      <c r="O25" s="201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</row>
    <row r="26" ht="12.75" customHeight="1">
      <c r="A26" s="203">
        <v>22.0</v>
      </c>
      <c r="B26" s="204" t="s">
        <v>329</v>
      </c>
      <c r="C26" s="205" t="s">
        <v>314</v>
      </c>
      <c r="D26" s="228">
        <f t="shared" ref="D26:O26" si="2">+D14+D20</f>
        <v>17442954</v>
      </c>
      <c r="E26" s="228">
        <f t="shared" si="2"/>
        <v>21483062</v>
      </c>
      <c r="F26" s="228">
        <f t="shared" si="2"/>
        <v>17174379</v>
      </c>
      <c r="G26" s="228">
        <f t="shared" si="2"/>
        <v>17402032</v>
      </c>
      <c r="H26" s="228">
        <f t="shared" si="2"/>
        <v>20265924</v>
      </c>
      <c r="I26" s="228">
        <f t="shared" si="2"/>
        <v>19536954</v>
      </c>
      <c r="J26" s="228">
        <f t="shared" si="2"/>
        <v>19965402</v>
      </c>
      <c r="K26" s="228">
        <f t="shared" si="2"/>
        <v>0</v>
      </c>
      <c r="L26" s="228">
        <f t="shared" si="2"/>
        <v>0</v>
      </c>
      <c r="M26" s="228">
        <f t="shared" si="2"/>
        <v>0</v>
      </c>
      <c r="N26" s="228">
        <f t="shared" si="2"/>
        <v>0</v>
      </c>
      <c r="O26" s="228">
        <f t="shared" si="2"/>
        <v>0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</row>
    <row r="27" ht="12.75" customHeight="1">
      <c r="A27" s="197">
        <v>23.0</v>
      </c>
      <c r="B27" s="198" t="s">
        <v>330</v>
      </c>
      <c r="C27" s="199" t="s">
        <v>314</v>
      </c>
      <c r="D27" s="228">
        <f t="shared" ref="D27:O27" si="3">+D15+D21</f>
        <v>14587080</v>
      </c>
      <c r="E27" s="228">
        <f t="shared" si="3"/>
        <v>19334623</v>
      </c>
      <c r="F27" s="228">
        <f t="shared" si="3"/>
        <v>15315191</v>
      </c>
      <c r="G27" s="228">
        <f t="shared" si="3"/>
        <v>14111333</v>
      </c>
      <c r="H27" s="228">
        <f t="shared" si="3"/>
        <v>16935219</v>
      </c>
      <c r="I27" s="228">
        <f t="shared" si="3"/>
        <v>15973927</v>
      </c>
      <c r="J27" s="228">
        <f t="shared" si="3"/>
        <v>0</v>
      </c>
      <c r="K27" s="228">
        <f t="shared" si="3"/>
        <v>0</v>
      </c>
      <c r="L27" s="228">
        <f t="shared" si="3"/>
        <v>0</v>
      </c>
      <c r="M27" s="228">
        <f t="shared" si="3"/>
        <v>0</v>
      </c>
      <c r="N27" s="228">
        <f t="shared" si="3"/>
        <v>0</v>
      </c>
      <c r="O27" s="228">
        <f t="shared" si="3"/>
        <v>0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8" ht="12.75" customHeight="1">
      <c r="A28" s="203">
        <v>24.0</v>
      </c>
      <c r="B28" s="204" t="s">
        <v>331</v>
      </c>
      <c r="C28" s="205" t="s">
        <v>314</v>
      </c>
      <c r="D28" s="228">
        <f t="shared" ref="D28:O28" si="4">+D16+D22</f>
        <v>8323203</v>
      </c>
      <c r="E28" s="228">
        <f t="shared" si="4"/>
        <v>10020284</v>
      </c>
      <c r="F28" s="228">
        <f t="shared" si="4"/>
        <v>8058433</v>
      </c>
      <c r="G28" s="228">
        <f t="shared" si="4"/>
        <v>8531943</v>
      </c>
      <c r="H28" s="228">
        <f t="shared" si="4"/>
        <v>9518784</v>
      </c>
      <c r="I28" s="228">
        <f t="shared" si="4"/>
        <v>9126803</v>
      </c>
      <c r="J28" s="228">
        <f t="shared" si="4"/>
        <v>9170819</v>
      </c>
      <c r="K28" s="228">
        <f t="shared" si="4"/>
        <v>0</v>
      </c>
      <c r="L28" s="228">
        <f t="shared" si="4"/>
        <v>0</v>
      </c>
      <c r="M28" s="228">
        <f t="shared" si="4"/>
        <v>0</v>
      </c>
      <c r="N28" s="228">
        <f t="shared" si="4"/>
        <v>0</v>
      </c>
      <c r="O28" s="228">
        <f t="shared" si="4"/>
        <v>0</v>
      </c>
      <c r="P28" s="192"/>
      <c r="Q28" s="86"/>
      <c r="R28" s="192"/>
      <c r="S28" s="86"/>
      <c r="T28" s="86"/>
      <c r="U28" s="86"/>
      <c r="V28" s="86"/>
      <c r="W28" s="86"/>
      <c r="X28" s="86"/>
      <c r="Y28" s="86"/>
      <c r="Z28" s="86"/>
    </row>
    <row r="29" ht="12.75" customHeight="1">
      <c r="A29" s="197">
        <v>25.0</v>
      </c>
      <c r="B29" s="198" t="s">
        <v>332</v>
      </c>
      <c r="C29" s="199" t="s">
        <v>314</v>
      </c>
      <c r="D29" s="228">
        <f t="shared" ref="D29:O29" si="5">+D17+D23</f>
        <v>6918651</v>
      </c>
      <c r="E29" s="228">
        <f t="shared" si="5"/>
        <v>8996488</v>
      </c>
      <c r="F29" s="228">
        <f t="shared" si="5"/>
        <v>7184770</v>
      </c>
      <c r="G29" s="228">
        <f t="shared" si="5"/>
        <v>6866653</v>
      </c>
      <c r="H29" s="228">
        <f t="shared" si="5"/>
        <v>8117408</v>
      </c>
      <c r="I29" s="228">
        <f t="shared" si="5"/>
        <v>7507615</v>
      </c>
      <c r="J29" s="228">
        <f t="shared" si="5"/>
        <v>0</v>
      </c>
      <c r="K29" s="228">
        <f t="shared" si="5"/>
        <v>0</v>
      </c>
      <c r="L29" s="228">
        <f t="shared" si="5"/>
        <v>0</v>
      </c>
      <c r="M29" s="228">
        <f t="shared" si="5"/>
        <v>0</v>
      </c>
      <c r="N29" s="228">
        <f t="shared" si="5"/>
        <v>0</v>
      </c>
      <c r="O29" s="228">
        <f t="shared" si="5"/>
        <v>0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</row>
    <row r="30" ht="12.75" customHeight="1">
      <c r="A30" s="203">
        <v>26.0</v>
      </c>
      <c r="B30" s="204" t="s">
        <v>333</v>
      </c>
      <c r="C30" s="205" t="s">
        <v>314</v>
      </c>
      <c r="D30" s="228">
        <f t="shared" ref="D30:O30" si="6">+D18+D24</f>
        <v>6872269</v>
      </c>
      <c r="E30" s="228">
        <f t="shared" si="6"/>
        <v>6909808</v>
      </c>
      <c r="F30" s="228">
        <f t="shared" si="6"/>
        <v>6559517</v>
      </c>
      <c r="G30" s="228">
        <f t="shared" si="6"/>
        <v>6578369</v>
      </c>
      <c r="H30" s="228">
        <f t="shared" si="6"/>
        <v>7191590</v>
      </c>
      <c r="I30" s="228">
        <f t="shared" si="6"/>
        <v>6819281</v>
      </c>
      <c r="J30" s="228">
        <f t="shared" si="6"/>
        <v>7211629</v>
      </c>
      <c r="K30" s="228">
        <f t="shared" si="6"/>
        <v>0</v>
      </c>
      <c r="L30" s="228">
        <f t="shared" si="6"/>
        <v>0</v>
      </c>
      <c r="M30" s="228">
        <f t="shared" si="6"/>
        <v>0</v>
      </c>
      <c r="N30" s="228">
        <f t="shared" si="6"/>
        <v>0</v>
      </c>
      <c r="O30" s="228">
        <f t="shared" si="6"/>
        <v>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</row>
    <row r="31" ht="12.75" customHeight="1">
      <c r="A31" s="197">
        <v>27.0</v>
      </c>
      <c r="B31" s="198" t="s">
        <v>334</v>
      </c>
      <c r="C31" s="199" t="s">
        <v>314</v>
      </c>
      <c r="D31" s="228">
        <f t="shared" ref="D31:O31" si="7">+D19+D25</f>
        <v>5727569</v>
      </c>
      <c r="E31" s="228">
        <f t="shared" si="7"/>
        <v>6115839</v>
      </c>
      <c r="F31" s="228">
        <f t="shared" si="7"/>
        <v>5795139</v>
      </c>
      <c r="G31" s="228">
        <f t="shared" si="7"/>
        <v>5217164</v>
      </c>
      <c r="H31" s="228">
        <f t="shared" si="7"/>
        <v>6250073</v>
      </c>
      <c r="I31" s="228">
        <f t="shared" si="7"/>
        <v>5444458</v>
      </c>
      <c r="J31" s="228">
        <f t="shared" si="7"/>
        <v>0</v>
      </c>
      <c r="K31" s="228">
        <f t="shared" si="7"/>
        <v>0</v>
      </c>
      <c r="L31" s="228">
        <f t="shared" si="7"/>
        <v>0</v>
      </c>
      <c r="M31" s="228">
        <f t="shared" si="7"/>
        <v>0</v>
      </c>
      <c r="N31" s="228">
        <f t="shared" si="7"/>
        <v>0</v>
      </c>
      <c r="O31" s="228">
        <f t="shared" si="7"/>
        <v>0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ht="12.75" customHeight="1">
      <c r="A32" s="229">
        <v>28.0</v>
      </c>
      <c r="B32" s="230" t="s">
        <v>335</v>
      </c>
      <c r="C32" s="231" t="s">
        <v>314</v>
      </c>
      <c r="D32" s="232">
        <f t="shared" ref="D32:O32" si="8">+D26+D28+D30</f>
        <v>32638426</v>
      </c>
      <c r="E32" s="232">
        <f t="shared" si="8"/>
        <v>38413154</v>
      </c>
      <c r="F32" s="232">
        <f t="shared" si="8"/>
        <v>31792329</v>
      </c>
      <c r="G32" s="232">
        <f t="shared" si="8"/>
        <v>32512344</v>
      </c>
      <c r="H32" s="232">
        <f t="shared" si="8"/>
        <v>36976298</v>
      </c>
      <c r="I32" s="232">
        <f t="shared" si="8"/>
        <v>35483038</v>
      </c>
      <c r="J32" s="232">
        <f t="shared" si="8"/>
        <v>36347850</v>
      </c>
      <c r="K32" s="232">
        <f t="shared" si="8"/>
        <v>0</v>
      </c>
      <c r="L32" s="232">
        <f t="shared" si="8"/>
        <v>0</v>
      </c>
      <c r="M32" s="232">
        <f t="shared" si="8"/>
        <v>0</v>
      </c>
      <c r="N32" s="232">
        <f t="shared" si="8"/>
        <v>0</v>
      </c>
      <c r="O32" s="232">
        <f t="shared" si="8"/>
        <v>0</v>
      </c>
      <c r="P32" s="233"/>
      <c r="Q32" s="233"/>
      <c r="R32" s="234"/>
      <c r="S32" s="234"/>
      <c r="T32" s="234"/>
      <c r="U32" s="234"/>
      <c r="V32" s="234"/>
      <c r="W32" s="234"/>
      <c r="X32" s="234"/>
      <c r="Y32" s="234"/>
      <c r="Z32" s="234"/>
    </row>
    <row r="33" ht="15.0" customHeight="1">
      <c r="A33" s="229">
        <v>29.0</v>
      </c>
      <c r="B33" s="235" t="s">
        <v>336</v>
      </c>
      <c r="C33" s="236" t="s">
        <v>314</v>
      </c>
      <c r="D33" s="232">
        <f t="shared" ref="D33:O33" si="9">+D31+D29+D27</f>
        <v>27233300</v>
      </c>
      <c r="E33" s="232">
        <f t="shared" si="9"/>
        <v>34446950</v>
      </c>
      <c r="F33" s="232">
        <f t="shared" si="9"/>
        <v>28295100</v>
      </c>
      <c r="G33" s="232">
        <f t="shared" si="9"/>
        <v>26195150</v>
      </c>
      <c r="H33" s="232">
        <f t="shared" si="9"/>
        <v>31302700</v>
      </c>
      <c r="I33" s="232">
        <f t="shared" si="9"/>
        <v>28926000</v>
      </c>
      <c r="J33" s="232">
        <f t="shared" si="9"/>
        <v>0</v>
      </c>
      <c r="K33" s="232">
        <f t="shared" si="9"/>
        <v>0</v>
      </c>
      <c r="L33" s="232">
        <f t="shared" si="9"/>
        <v>0</v>
      </c>
      <c r="M33" s="232">
        <f t="shared" si="9"/>
        <v>0</v>
      </c>
      <c r="N33" s="232">
        <f t="shared" si="9"/>
        <v>0</v>
      </c>
      <c r="O33" s="232">
        <f t="shared" si="9"/>
        <v>0</v>
      </c>
      <c r="P33" s="233"/>
      <c r="Q33" s="233"/>
      <c r="R33" s="234"/>
      <c r="S33" s="234"/>
      <c r="T33" s="234"/>
      <c r="U33" s="234"/>
      <c r="V33" s="234"/>
      <c r="W33" s="234"/>
      <c r="X33" s="234"/>
      <c r="Y33" s="234"/>
      <c r="Z33" s="234"/>
    </row>
    <row r="34" ht="15.0" customHeight="1">
      <c r="A34" s="203">
        <v>30.0</v>
      </c>
      <c r="B34" s="204" t="s">
        <v>337</v>
      </c>
      <c r="C34" s="205" t="s">
        <v>338</v>
      </c>
      <c r="D34" s="237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</row>
    <row r="35" ht="12.75" customHeight="1">
      <c r="A35" s="197">
        <v>31.0</v>
      </c>
      <c r="B35" s="198" t="s">
        <v>339</v>
      </c>
      <c r="C35" s="199" t="s">
        <v>338</v>
      </c>
      <c r="D35" s="239"/>
      <c r="E35" s="239"/>
      <c r="F35" s="239"/>
      <c r="G35" s="239"/>
      <c r="H35" s="239"/>
      <c r="I35" s="239"/>
      <c r="J35" s="239"/>
      <c r="K35" s="239"/>
      <c r="L35" s="240"/>
      <c r="M35" s="239"/>
      <c r="N35" s="239"/>
      <c r="O35" s="239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</row>
    <row r="36" ht="12.75" customHeight="1">
      <c r="A36" s="203">
        <v>32.0</v>
      </c>
      <c r="B36" s="204" t="s">
        <v>340</v>
      </c>
      <c r="C36" s="205"/>
      <c r="D36" s="237">
        <v>24.05</v>
      </c>
      <c r="E36" s="238">
        <v>26.82</v>
      </c>
      <c r="F36" s="241" t="s">
        <v>341</v>
      </c>
      <c r="G36" s="241" t="s">
        <v>342</v>
      </c>
      <c r="H36" s="241" t="s">
        <v>343</v>
      </c>
      <c r="I36" s="241" t="s">
        <v>344</v>
      </c>
      <c r="J36" s="238"/>
      <c r="K36" s="238"/>
      <c r="L36" s="238"/>
      <c r="M36" s="242"/>
      <c r="N36" s="242"/>
      <c r="O36" s="238">
        <v>41.83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</row>
    <row r="37" ht="12.75" customHeight="1">
      <c r="A37" s="197">
        <v>33.0</v>
      </c>
      <c r="B37" s="198" t="s">
        <v>162</v>
      </c>
      <c r="C37" s="199"/>
      <c r="D37" s="243">
        <f t="shared" ref="D37:O37" si="10">+D32-D33</f>
        <v>5405126</v>
      </c>
      <c r="E37" s="243">
        <f t="shared" si="10"/>
        <v>3966204</v>
      </c>
      <c r="F37" s="243">
        <f t="shared" si="10"/>
        <v>3497229</v>
      </c>
      <c r="G37" s="243">
        <f t="shared" si="10"/>
        <v>6317194</v>
      </c>
      <c r="H37" s="243">
        <f t="shared" si="10"/>
        <v>5673598</v>
      </c>
      <c r="I37" s="243">
        <f t="shared" si="10"/>
        <v>6557038</v>
      </c>
      <c r="J37" s="243">
        <f t="shared" si="10"/>
        <v>36347850</v>
      </c>
      <c r="K37" s="243">
        <f t="shared" si="10"/>
        <v>0</v>
      </c>
      <c r="L37" s="243">
        <f t="shared" si="10"/>
        <v>0</v>
      </c>
      <c r="M37" s="243">
        <f t="shared" si="10"/>
        <v>0</v>
      </c>
      <c r="N37" s="243">
        <f t="shared" si="10"/>
        <v>0</v>
      </c>
      <c r="O37" s="243">
        <f t="shared" si="10"/>
        <v>0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</row>
    <row r="38" ht="12.75" customHeight="1">
      <c r="A38" s="203">
        <v>34.0</v>
      </c>
      <c r="B38" s="204" t="s">
        <v>238</v>
      </c>
      <c r="C38" s="205"/>
      <c r="D38" s="237">
        <v>957.0</v>
      </c>
      <c r="E38" s="237">
        <v>954.0</v>
      </c>
      <c r="F38" s="238">
        <v>953.0</v>
      </c>
      <c r="G38" s="238">
        <v>958.0</v>
      </c>
      <c r="H38" s="238">
        <v>967.0</v>
      </c>
      <c r="I38" s="238">
        <v>968.0</v>
      </c>
      <c r="J38" s="238">
        <v>968.0</v>
      </c>
      <c r="K38" s="238"/>
      <c r="L38" s="238"/>
      <c r="M38" s="238"/>
      <c r="N38" s="238"/>
      <c r="O38" s="238">
        <v>911.0</v>
      </c>
      <c r="P38" s="227" t="str">
        <f>+O38/O6</f>
        <v>#DIV/0!</v>
      </c>
      <c r="Q38" s="86"/>
      <c r="R38" s="86"/>
      <c r="S38" s="86"/>
      <c r="T38" s="86"/>
      <c r="U38" s="86"/>
      <c r="V38" s="86"/>
      <c r="W38" s="86"/>
      <c r="X38" s="86"/>
      <c r="Y38" s="86"/>
      <c r="Z38" s="86"/>
    </row>
    <row r="39" ht="12.75" customHeight="1">
      <c r="A39" s="197">
        <v>35.0</v>
      </c>
      <c r="B39" s="198" t="s">
        <v>345</v>
      </c>
      <c r="C39" s="199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</row>
    <row r="40" ht="12.75" customHeight="1">
      <c r="A40" s="203">
        <v>36.0</v>
      </c>
      <c r="B40" s="204" t="s">
        <v>346</v>
      </c>
      <c r="C40" s="205"/>
      <c r="D40" s="237">
        <v>0.0</v>
      </c>
      <c r="E40" s="237">
        <v>3.0</v>
      </c>
      <c r="F40" s="244">
        <v>1.0</v>
      </c>
      <c r="G40" s="237">
        <v>1.0</v>
      </c>
      <c r="H40" s="237">
        <v>2.0</v>
      </c>
      <c r="I40" s="237">
        <v>0.0</v>
      </c>
      <c r="J40" s="244"/>
      <c r="K40" s="237"/>
      <c r="L40" s="237"/>
      <c r="M40" s="237"/>
      <c r="N40" s="237"/>
      <c r="O40" s="237">
        <v>0.0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</row>
    <row r="41" ht="12.75" customHeight="1">
      <c r="A41" s="245"/>
      <c r="B41" s="191"/>
      <c r="C41" s="246"/>
      <c r="D41" s="247"/>
      <c r="E41" s="248"/>
      <c r="F41" s="248"/>
      <c r="G41" s="248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</row>
    <row r="42" ht="12.75" customHeight="1">
      <c r="A42" s="197"/>
      <c r="B42" s="198" t="s">
        <v>155</v>
      </c>
      <c r="C42" s="199"/>
      <c r="D42" s="249">
        <f t="shared" ref="D42:O42" si="11">+D4</f>
        <v>46023</v>
      </c>
      <c r="E42" s="249">
        <f t="shared" si="11"/>
        <v>46054</v>
      </c>
      <c r="F42" s="249">
        <f t="shared" si="11"/>
        <v>46082</v>
      </c>
      <c r="G42" s="249">
        <f t="shared" si="11"/>
        <v>46113</v>
      </c>
      <c r="H42" s="249">
        <f t="shared" si="11"/>
        <v>46143</v>
      </c>
      <c r="I42" s="249">
        <f t="shared" si="11"/>
        <v>46174</v>
      </c>
      <c r="J42" s="249">
        <f t="shared" si="11"/>
        <v>46204</v>
      </c>
      <c r="K42" s="249">
        <f t="shared" si="11"/>
        <v>46235</v>
      </c>
      <c r="L42" s="249">
        <f t="shared" si="11"/>
        <v>46266</v>
      </c>
      <c r="M42" s="249">
        <f t="shared" si="11"/>
        <v>46296</v>
      </c>
      <c r="N42" s="249">
        <f t="shared" si="11"/>
        <v>46327</v>
      </c>
      <c r="O42" s="249">
        <f t="shared" si="11"/>
        <v>46357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</row>
    <row r="43" ht="12.75" customHeight="1">
      <c r="A43" s="203"/>
      <c r="B43" s="204" t="s">
        <v>347</v>
      </c>
      <c r="C43" s="250"/>
      <c r="D43" s="251">
        <f t="shared" ref="D43:G43" si="12">+D14+D16+D18</f>
        <v>27622428</v>
      </c>
      <c r="E43" s="251">
        <f t="shared" si="12"/>
        <v>33061528</v>
      </c>
      <c r="F43" s="251">
        <f t="shared" si="12"/>
        <v>27826125</v>
      </c>
      <c r="G43" s="252">
        <f t="shared" si="12"/>
        <v>29603765</v>
      </c>
      <c r="H43" s="252">
        <f>+G15+H16+H18</f>
        <v>26396860</v>
      </c>
      <c r="I43" s="252">
        <f t="shared" ref="I43:O43" si="13">+I14+I16+I18</f>
        <v>29809440</v>
      </c>
      <c r="J43" s="252">
        <f t="shared" si="13"/>
        <v>29846112</v>
      </c>
      <c r="K43" s="252">
        <f t="shared" si="13"/>
        <v>0</v>
      </c>
      <c r="L43" s="252">
        <f t="shared" si="13"/>
        <v>0</v>
      </c>
      <c r="M43" s="252">
        <f t="shared" si="13"/>
        <v>0</v>
      </c>
      <c r="N43" s="252">
        <f t="shared" si="13"/>
        <v>0</v>
      </c>
      <c r="O43" s="252">
        <f t="shared" si="13"/>
        <v>0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</row>
    <row r="44" ht="12.75" customHeight="1">
      <c r="A44" s="197"/>
      <c r="B44" s="198" t="s">
        <v>348</v>
      </c>
      <c r="C44" s="253"/>
      <c r="D44" s="251">
        <f t="shared" ref="D44:O44" si="14">+D15+D17+D19</f>
        <v>22878400</v>
      </c>
      <c r="E44" s="251">
        <f t="shared" si="14"/>
        <v>29259082</v>
      </c>
      <c r="F44" s="251">
        <f t="shared" si="14"/>
        <v>24513158</v>
      </c>
      <c r="G44" s="252">
        <f t="shared" si="14"/>
        <v>23014613</v>
      </c>
      <c r="H44" s="252">
        <f t="shared" si="14"/>
        <v>25542880</v>
      </c>
      <c r="I44" s="252">
        <f t="shared" si="14"/>
        <v>24336500</v>
      </c>
      <c r="J44" s="252">
        <f t="shared" si="14"/>
        <v>0</v>
      </c>
      <c r="K44" s="252">
        <f t="shared" si="14"/>
        <v>0</v>
      </c>
      <c r="L44" s="252">
        <f t="shared" si="14"/>
        <v>0</v>
      </c>
      <c r="M44" s="252">
        <f t="shared" si="14"/>
        <v>0</v>
      </c>
      <c r="N44" s="252">
        <f t="shared" si="14"/>
        <v>0</v>
      </c>
      <c r="O44" s="252">
        <f t="shared" si="14"/>
        <v>0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</row>
    <row r="45" ht="12.75" customHeight="1">
      <c r="A45" s="203"/>
      <c r="B45" s="204" t="s">
        <v>155</v>
      </c>
      <c r="C45" s="205"/>
      <c r="D45" s="249">
        <f t="shared" ref="D45:O45" si="15">+D4</f>
        <v>46023</v>
      </c>
      <c r="E45" s="249">
        <f t="shared" si="15"/>
        <v>46054</v>
      </c>
      <c r="F45" s="249">
        <f t="shared" si="15"/>
        <v>46082</v>
      </c>
      <c r="G45" s="249">
        <f t="shared" si="15"/>
        <v>46113</v>
      </c>
      <c r="H45" s="249">
        <f t="shared" si="15"/>
        <v>46143</v>
      </c>
      <c r="I45" s="249">
        <f t="shared" si="15"/>
        <v>46174</v>
      </c>
      <c r="J45" s="249">
        <f t="shared" si="15"/>
        <v>46204</v>
      </c>
      <c r="K45" s="249">
        <f t="shared" si="15"/>
        <v>46235</v>
      </c>
      <c r="L45" s="249">
        <f t="shared" si="15"/>
        <v>46266</v>
      </c>
      <c r="M45" s="249">
        <f t="shared" si="15"/>
        <v>46296</v>
      </c>
      <c r="N45" s="249">
        <f t="shared" si="15"/>
        <v>46327</v>
      </c>
      <c r="O45" s="249">
        <f t="shared" si="15"/>
        <v>46357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</row>
    <row r="46" ht="12.75" customHeight="1">
      <c r="A46" s="197"/>
      <c r="B46" s="198" t="s">
        <v>349</v>
      </c>
      <c r="C46" s="199"/>
      <c r="D46" s="251">
        <f t="shared" ref="D46:O46" si="16">+D20+D22+D24</f>
        <v>5015998</v>
      </c>
      <c r="E46" s="251">
        <f t="shared" si="16"/>
        <v>5351626</v>
      </c>
      <c r="F46" s="251">
        <f t="shared" si="16"/>
        <v>3966204</v>
      </c>
      <c r="G46" s="252">
        <f t="shared" si="16"/>
        <v>2908579</v>
      </c>
      <c r="H46" s="252">
        <f t="shared" si="16"/>
        <v>6279944</v>
      </c>
      <c r="I46" s="252">
        <f t="shared" si="16"/>
        <v>5673598</v>
      </c>
      <c r="J46" s="252">
        <f t="shared" si="16"/>
        <v>6501738</v>
      </c>
      <c r="K46" s="252">
        <f t="shared" si="16"/>
        <v>0</v>
      </c>
      <c r="L46" s="252">
        <f t="shared" si="16"/>
        <v>0</v>
      </c>
      <c r="M46" s="252">
        <f t="shared" si="16"/>
        <v>0</v>
      </c>
      <c r="N46" s="252">
        <f t="shared" si="16"/>
        <v>0</v>
      </c>
      <c r="O46" s="252">
        <f t="shared" si="16"/>
        <v>0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</row>
    <row r="47" ht="12.75" customHeight="1">
      <c r="A47" s="203"/>
      <c r="B47" s="204" t="s">
        <v>350</v>
      </c>
      <c r="C47" s="250"/>
      <c r="D47" s="251">
        <f t="shared" ref="D47:O47" si="17">+D21+D23+D25</f>
        <v>4354900</v>
      </c>
      <c r="E47" s="251">
        <f t="shared" si="17"/>
        <v>5187868</v>
      </c>
      <c r="F47" s="251">
        <f t="shared" si="17"/>
        <v>3781942</v>
      </c>
      <c r="G47" s="252">
        <f t="shared" si="17"/>
        <v>3180537</v>
      </c>
      <c r="H47" s="252">
        <f t="shared" si="17"/>
        <v>5759820</v>
      </c>
      <c r="I47" s="252">
        <f t="shared" si="17"/>
        <v>4589500</v>
      </c>
      <c r="J47" s="252">
        <f t="shared" si="17"/>
        <v>0</v>
      </c>
      <c r="K47" s="252">
        <f t="shared" si="17"/>
        <v>0</v>
      </c>
      <c r="L47" s="252">
        <f t="shared" si="17"/>
        <v>0</v>
      </c>
      <c r="M47" s="252">
        <f t="shared" si="17"/>
        <v>0</v>
      </c>
      <c r="N47" s="252">
        <f t="shared" si="17"/>
        <v>0</v>
      </c>
      <c r="O47" s="252">
        <f t="shared" si="17"/>
        <v>0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</row>
    <row r="48" ht="12.75" customHeight="1">
      <c r="A48" s="197"/>
      <c r="B48" s="198" t="s">
        <v>351</v>
      </c>
      <c r="C48" s="199"/>
      <c r="D48" s="254">
        <f t="shared" ref="D48:O48" si="18">+D44/D43</f>
        <v>0.8282544894</v>
      </c>
      <c r="E48" s="254">
        <f t="shared" si="18"/>
        <v>0.8849888003</v>
      </c>
      <c r="F48" s="254">
        <f t="shared" si="18"/>
        <v>0.8809404112</v>
      </c>
      <c r="G48" s="254">
        <f t="shared" si="18"/>
        <v>0.7774218246</v>
      </c>
      <c r="H48" s="254">
        <f t="shared" si="18"/>
        <v>0.9676484249</v>
      </c>
      <c r="I48" s="254">
        <f t="shared" si="18"/>
        <v>0.8164024551</v>
      </c>
      <c r="J48" s="254">
        <f t="shared" si="18"/>
        <v>0</v>
      </c>
      <c r="K48" s="254" t="str">
        <f t="shared" si="18"/>
        <v>#DIV/0!</v>
      </c>
      <c r="L48" s="254" t="str">
        <f t="shared" si="18"/>
        <v>#DIV/0!</v>
      </c>
      <c r="M48" s="254" t="str">
        <f t="shared" si="18"/>
        <v>#DIV/0!</v>
      </c>
      <c r="N48" s="254" t="str">
        <f t="shared" si="18"/>
        <v>#DIV/0!</v>
      </c>
      <c r="O48" s="254" t="str">
        <f t="shared" si="18"/>
        <v>#DIV/0!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</row>
    <row r="49" ht="12.75" customHeight="1">
      <c r="A49" s="203"/>
      <c r="B49" s="255" t="s">
        <v>352</v>
      </c>
      <c r="C49" s="256"/>
      <c r="D49" s="254">
        <f t="shared" ref="D49:O49" si="19">+D47/D46</f>
        <v>0.8682021006</v>
      </c>
      <c r="E49" s="254">
        <f t="shared" si="19"/>
        <v>0.969400328</v>
      </c>
      <c r="F49" s="254">
        <f t="shared" si="19"/>
        <v>0.9535419762</v>
      </c>
      <c r="G49" s="254">
        <f t="shared" si="19"/>
        <v>1.093502016</v>
      </c>
      <c r="H49" s="254">
        <f t="shared" si="19"/>
        <v>0.9171769685</v>
      </c>
      <c r="I49" s="254">
        <f t="shared" si="19"/>
        <v>0.80892231</v>
      </c>
      <c r="J49" s="254">
        <f t="shared" si="19"/>
        <v>0</v>
      </c>
      <c r="K49" s="254" t="str">
        <f t="shared" si="19"/>
        <v>#DIV/0!</v>
      </c>
      <c r="L49" s="254" t="str">
        <f t="shared" si="19"/>
        <v>#DIV/0!</v>
      </c>
      <c r="M49" s="254" t="str">
        <f t="shared" si="19"/>
        <v>#DIV/0!</v>
      </c>
      <c r="N49" s="254" t="str">
        <f t="shared" si="19"/>
        <v>#DIV/0!</v>
      </c>
      <c r="O49" s="254" t="str">
        <f t="shared" si="19"/>
        <v>#DIV/0!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</row>
    <row r="50" ht="12.75" customHeight="1">
      <c r="A50" s="245"/>
      <c r="B50" s="191"/>
      <c r="C50" s="246"/>
      <c r="D50" s="257"/>
      <c r="E50" s="257"/>
      <c r="F50" s="257"/>
      <c r="G50" s="257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</row>
    <row r="51" ht="12.75" customHeight="1">
      <c r="A51" s="245"/>
      <c r="B51" s="191"/>
      <c r="C51" s="246"/>
      <c r="D51" s="258"/>
      <c r="E51" s="258"/>
      <c r="F51" s="258"/>
      <c r="G51" s="258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</row>
    <row r="52" ht="12.75" customHeight="1">
      <c r="A52" s="259" t="s">
        <v>353</v>
      </c>
      <c r="B52" s="260"/>
      <c r="C52" s="195" t="s">
        <v>304</v>
      </c>
      <c r="D52" s="196">
        <f t="shared" ref="D52:O52" si="20">+D4</f>
        <v>46023</v>
      </c>
      <c r="E52" s="196">
        <f t="shared" si="20"/>
        <v>46054</v>
      </c>
      <c r="F52" s="196">
        <f t="shared" si="20"/>
        <v>46082</v>
      </c>
      <c r="G52" s="196">
        <f t="shared" si="20"/>
        <v>46113</v>
      </c>
      <c r="H52" s="196">
        <f t="shared" si="20"/>
        <v>46143</v>
      </c>
      <c r="I52" s="196">
        <f t="shared" si="20"/>
        <v>46174</v>
      </c>
      <c r="J52" s="196">
        <f t="shared" si="20"/>
        <v>46204</v>
      </c>
      <c r="K52" s="196">
        <f t="shared" si="20"/>
        <v>46235</v>
      </c>
      <c r="L52" s="196">
        <f t="shared" si="20"/>
        <v>46266</v>
      </c>
      <c r="M52" s="196">
        <f t="shared" si="20"/>
        <v>46296</v>
      </c>
      <c r="N52" s="196">
        <f t="shared" si="20"/>
        <v>46327</v>
      </c>
      <c r="O52" s="196">
        <f t="shared" si="20"/>
        <v>46357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</row>
    <row r="53" ht="12.75" customHeight="1">
      <c r="A53" s="261">
        <v>1.0</v>
      </c>
      <c r="B53" s="198" t="s">
        <v>354</v>
      </c>
      <c r="C53" s="199" t="s">
        <v>355</v>
      </c>
      <c r="D53" s="262">
        <f t="shared" ref="D53:O53" si="21">+D6/D5</f>
        <v>0.993814433</v>
      </c>
      <c r="E53" s="262">
        <f t="shared" si="21"/>
        <v>0.9917525773</v>
      </c>
      <c r="F53" s="262">
        <f t="shared" si="21"/>
        <v>0.9927835052</v>
      </c>
      <c r="G53" s="262">
        <f t="shared" si="21"/>
        <v>1</v>
      </c>
      <c r="H53" s="262">
        <f t="shared" si="21"/>
        <v>0.998980632</v>
      </c>
      <c r="I53" s="262">
        <f t="shared" si="21"/>
        <v>0.998980632</v>
      </c>
      <c r="J53" s="262" t="str">
        <f t="shared" si="21"/>
        <v>#DIV/0!</v>
      </c>
      <c r="K53" s="262" t="str">
        <f t="shared" si="21"/>
        <v>#DIV/0!</v>
      </c>
      <c r="L53" s="262" t="str">
        <f t="shared" si="21"/>
        <v>#DIV/0!</v>
      </c>
      <c r="M53" s="262" t="str">
        <f t="shared" si="21"/>
        <v>#DIV/0!</v>
      </c>
      <c r="N53" s="262" t="str">
        <f t="shared" si="21"/>
        <v>#DIV/0!</v>
      </c>
      <c r="O53" s="262" t="str">
        <f t="shared" si="21"/>
        <v>#DIV/0!</v>
      </c>
      <c r="P53" s="263" t="str">
        <f t="shared" ref="P53:P55" si="23">AVERAGE(D53:O53)</f>
        <v>#DIV/0!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</row>
    <row r="54" ht="12.75" customHeight="1">
      <c r="A54" s="264">
        <v>2.0</v>
      </c>
      <c r="B54" s="204" t="s">
        <v>356</v>
      </c>
      <c r="C54" s="205" t="s">
        <v>355</v>
      </c>
      <c r="D54" s="262">
        <f t="shared" ref="D54:O54" si="22">+D7/D5</f>
        <v>0.9649484536</v>
      </c>
      <c r="E54" s="262">
        <f t="shared" si="22"/>
        <v>0.9628865979</v>
      </c>
      <c r="F54" s="262">
        <f t="shared" si="22"/>
        <v>0.9639175258</v>
      </c>
      <c r="G54" s="262">
        <f t="shared" si="22"/>
        <v>0.9711340206</v>
      </c>
      <c r="H54" s="262">
        <f t="shared" si="22"/>
        <v>0.9704383282</v>
      </c>
      <c r="I54" s="262">
        <f t="shared" si="22"/>
        <v>0.9704383282</v>
      </c>
      <c r="J54" s="262" t="str">
        <f t="shared" si="22"/>
        <v>#DIV/0!</v>
      </c>
      <c r="K54" s="262" t="str">
        <f t="shared" si="22"/>
        <v>#DIV/0!</v>
      </c>
      <c r="L54" s="262" t="str">
        <f t="shared" si="22"/>
        <v>#DIV/0!</v>
      </c>
      <c r="M54" s="262" t="str">
        <f t="shared" si="22"/>
        <v>#DIV/0!</v>
      </c>
      <c r="N54" s="262" t="str">
        <f t="shared" si="22"/>
        <v>#DIV/0!</v>
      </c>
      <c r="O54" s="262" t="str">
        <f t="shared" si="22"/>
        <v>#DIV/0!</v>
      </c>
      <c r="P54" s="263" t="str">
        <f t="shared" si="23"/>
        <v>#DIV/0!</v>
      </c>
      <c r="Q54" s="86"/>
      <c r="R54" s="86"/>
      <c r="S54" s="86"/>
      <c r="T54" s="86"/>
      <c r="U54" s="86"/>
      <c r="V54" s="86"/>
      <c r="W54" s="86"/>
      <c r="X54" s="86"/>
      <c r="Y54" s="86"/>
      <c r="Z54" s="86"/>
    </row>
    <row r="55" ht="12.75" customHeight="1">
      <c r="A55" s="261">
        <v>3.0</v>
      </c>
      <c r="B55" s="198" t="s">
        <v>357</v>
      </c>
      <c r="C55" s="199" t="s">
        <v>355</v>
      </c>
      <c r="D55" s="262">
        <f t="shared" ref="D55:O55" si="24">IF((D5&gt;0),D8/D5,"0")</f>
        <v>0.9639175258</v>
      </c>
      <c r="E55" s="262">
        <f t="shared" si="24"/>
        <v>0.9618556701</v>
      </c>
      <c r="F55" s="262">
        <f t="shared" si="24"/>
        <v>0.9628865979</v>
      </c>
      <c r="G55" s="262">
        <f t="shared" si="24"/>
        <v>0.9701030928</v>
      </c>
      <c r="H55" s="262">
        <f t="shared" si="24"/>
        <v>0.9694189602</v>
      </c>
      <c r="I55" s="262">
        <f t="shared" si="24"/>
        <v>0.9694189602</v>
      </c>
      <c r="J55" s="262" t="str">
        <f t="shared" si="24"/>
        <v>0</v>
      </c>
      <c r="K55" s="262" t="str">
        <f t="shared" si="24"/>
        <v>0</v>
      </c>
      <c r="L55" s="262" t="str">
        <f t="shared" si="24"/>
        <v>0</v>
      </c>
      <c r="M55" s="262" t="str">
        <f t="shared" si="24"/>
        <v>0</v>
      </c>
      <c r="N55" s="262" t="str">
        <f t="shared" si="24"/>
        <v>0</v>
      </c>
      <c r="O55" s="262" t="str">
        <f t="shared" si="24"/>
        <v>0</v>
      </c>
      <c r="P55" s="263">
        <f t="shared" si="23"/>
        <v>0.9662668012</v>
      </c>
      <c r="Q55" s="86"/>
      <c r="R55" s="86"/>
      <c r="S55" s="86"/>
      <c r="T55" s="86"/>
      <c r="U55" s="86"/>
      <c r="V55" s="86"/>
      <c r="W55" s="86"/>
      <c r="X55" s="86"/>
      <c r="Y55" s="86"/>
      <c r="Z55" s="86"/>
    </row>
    <row r="56" ht="12.75" customHeight="1">
      <c r="A56" s="264">
        <v>4.0</v>
      </c>
      <c r="B56" s="204" t="s">
        <v>358</v>
      </c>
      <c r="C56" s="205" t="s">
        <v>359</v>
      </c>
      <c r="D56" s="237"/>
      <c r="E56" s="237"/>
      <c r="F56" s="237"/>
      <c r="G56" s="237"/>
      <c r="H56" s="237"/>
      <c r="I56" s="237"/>
      <c r="J56" s="237"/>
      <c r="K56" s="265"/>
      <c r="L56" s="237"/>
      <c r="M56" s="237"/>
      <c r="N56" s="237"/>
      <c r="O56" s="237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</row>
    <row r="57" ht="12.75" customHeight="1">
      <c r="A57" s="261">
        <v>5.0</v>
      </c>
      <c r="B57" s="198" t="s">
        <v>360</v>
      </c>
      <c r="C57" s="199" t="s">
        <v>355</v>
      </c>
      <c r="D57" s="262">
        <f t="shared" ref="D57:P57" si="25">+ROUND((D9-D10)/D9,4)</f>
        <v>0.4928</v>
      </c>
      <c r="E57" s="262">
        <f t="shared" si="25"/>
        <v>0.114</v>
      </c>
      <c r="F57" s="262">
        <f t="shared" si="25"/>
        <v>0.4999</v>
      </c>
      <c r="G57" s="262">
        <f t="shared" si="25"/>
        <v>0.3606</v>
      </c>
      <c r="H57" s="262">
        <f t="shared" si="25"/>
        <v>0.3649</v>
      </c>
      <c r="I57" s="262">
        <f t="shared" si="25"/>
        <v>0.3617</v>
      </c>
      <c r="J57" s="262" t="str">
        <f t="shared" si="25"/>
        <v>#DIV/0!</v>
      </c>
      <c r="K57" s="262" t="str">
        <f t="shared" si="25"/>
        <v>#DIV/0!</v>
      </c>
      <c r="L57" s="262" t="str">
        <f t="shared" si="25"/>
        <v>#DIV/0!</v>
      </c>
      <c r="M57" s="262" t="str">
        <f t="shared" si="25"/>
        <v>#DIV/0!</v>
      </c>
      <c r="N57" s="262" t="str">
        <f t="shared" si="25"/>
        <v>#DIV/0!</v>
      </c>
      <c r="O57" s="262" t="str">
        <f t="shared" si="25"/>
        <v>#DIV/0!</v>
      </c>
      <c r="P57" s="262">
        <f t="shared" si="25"/>
        <v>0.3757</v>
      </c>
      <c r="Q57" s="86">
        <f>+P57/12</f>
        <v>0.03130833333</v>
      </c>
      <c r="R57" s="86"/>
      <c r="S57" s="86"/>
      <c r="T57" s="86"/>
      <c r="U57" s="86"/>
      <c r="V57" s="86"/>
      <c r="W57" s="86"/>
      <c r="X57" s="86"/>
      <c r="Y57" s="86"/>
      <c r="Z57" s="86"/>
    </row>
    <row r="58" ht="12.75" customHeight="1">
      <c r="A58" s="264">
        <v>6.0</v>
      </c>
      <c r="B58" s="204" t="s">
        <v>361</v>
      </c>
      <c r="C58" s="205" t="s">
        <v>355</v>
      </c>
      <c r="D58" s="262">
        <f t="shared" ref="D58:P58" si="26">+D15/D14</f>
        <v>0.8274168033</v>
      </c>
      <c r="E58" s="262">
        <f t="shared" si="26"/>
        <v>0.8878564764</v>
      </c>
      <c r="F58" s="262">
        <f t="shared" si="26"/>
        <v>0.8829789784</v>
      </c>
      <c r="G58" s="262">
        <f t="shared" si="26"/>
        <v>0.7778505568</v>
      </c>
      <c r="H58" s="262">
        <f t="shared" si="26"/>
        <v>0.8258757379</v>
      </c>
      <c r="I58" s="262">
        <f t="shared" si="26"/>
        <v>0.820701858</v>
      </c>
      <c r="J58" s="262">
        <f t="shared" si="26"/>
        <v>0</v>
      </c>
      <c r="K58" s="262" t="str">
        <f t="shared" si="26"/>
        <v>#DIV/0!</v>
      </c>
      <c r="L58" s="262" t="str">
        <f t="shared" si="26"/>
        <v>#DIV/0!</v>
      </c>
      <c r="M58" s="262" t="str">
        <f t="shared" si="26"/>
        <v>#DIV/0!</v>
      </c>
      <c r="N58" s="262" t="str">
        <f t="shared" si="26"/>
        <v>#DIV/0!</v>
      </c>
      <c r="O58" s="262" t="str">
        <f t="shared" si="26"/>
        <v>#DIV/0!</v>
      </c>
      <c r="P58" s="262">
        <f t="shared" si="26"/>
        <v>0.7179610023</v>
      </c>
      <c r="Q58" s="86"/>
      <c r="R58" s="86"/>
      <c r="S58" s="86"/>
      <c r="T58" s="86"/>
      <c r="U58" s="86"/>
      <c r="V58" s="86"/>
      <c r="W58" s="86"/>
      <c r="X58" s="86"/>
      <c r="Y58" s="86"/>
      <c r="Z58" s="86"/>
    </row>
    <row r="59" ht="12.75" customHeight="1">
      <c r="A59" s="261">
        <v>7.0</v>
      </c>
      <c r="B59" s="198" t="s">
        <v>362</v>
      </c>
      <c r="C59" s="199" t="s">
        <v>355</v>
      </c>
      <c r="D59" s="262">
        <f t="shared" ref="D59:P59" si="27">+D17/D16</f>
        <v>0.8290464489</v>
      </c>
      <c r="E59" s="262">
        <f t="shared" si="27"/>
        <v>0.8856286725</v>
      </c>
      <c r="F59" s="262">
        <f t="shared" si="27"/>
        <v>0.8789907007</v>
      </c>
      <c r="G59" s="262">
        <f t="shared" si="27"/>
        <v>0.7746365358</v>
      </c>
      <c r="H59" s="262">
        <f t="shared" si="27"/>
        <v>0.8281976472</v>
      </c>
      <c r="I59" s="262">
        <f t="shared" si="27"/>
        <v>0.8185368614</v>
      </c>
      <c r="J59" s="262">
        <f t="shared" si="27"/>
        <v>0</v>
      </c>
      <c r="K59" s="262" t="str">
        <f t="shared" si="27"/>
        <v>#DIV/0!</v>
      </c>
      <c r="L59" s="262" t="str">
        <f t="shared" si="27"/>
        <v>#DIV/0!</v>
      </c>
      <c r="M59" s="262" t="str">
        <f t="shared" si="27"/>
        <v>#DIV/0!</v>
      </c>
      <c r="N59" s="262" t="str">
        <f t="shared" si="27"/>
        <v>#DIV/0!</v>
      </c>
      <c r="O59" s="262" t="str">
        <f t="shared" si="27"/>
        <v>#DIV/0!</v>
      </c>
      <c r="P59" s="262">
        <f t="shared" si="27"/>
        <v>0.717216781</v>
      </c>
      <c r="Q59" s="86"/>
      <c r="R59" s="86"/>
      <c r="S59" s="86"/>
      <c r="T59" s="86"/>
      <c r="U59" s="86"/>
      <c r="V59" s="86"/>
      <c r="W59" s="86"/>
      <c r="X59" s="86"/>
      <c r="Y59" s="86"/>
      <c r="Z59" s="86"/>
    </row>
    <row r="60" ht="12.75" customHeight="1">
      <c r="A60" s="264">
        <v>8.0</v>
      </c>
      <c r="B60" s="204" t="s">
        <v>363</v>
      </c>
      <c r="C60" s="205" t="s">
        <v>355</v>
      </c>
      <c r="D60" s="262">
        <f t="shared" ref="D60:P60" si="28">+D19/D18</f>
        <v>0.829444088</v>
      </c>
      <c r="E60" s="262">
        <f t="shared" si="28"/>
        <v>0.8747471495</v>
      </c>
      <c r="F60" s="262">
        <f t="shared" si="28"/>
        <v>0.878010252</v>
      </c>
      <c r="G60" s="262">
        <f t="shared" si="28"/>
        <v>0.7799015514</v>
      </c>
      <c r="H60" s="262">
        <f t="shared" si="28"/>
        <v>0.8553635445</v>
      </c>
      <c r="I60" s="262">
        <f t="shared" si="28"/>
        <v>0.8016930786</v>
      </c>
      <c r="J60" s="262">
        <f t="shared" si="28"/>
        <v>0</v>
      </c>
      <c r="K60" s="262" t="str">
        <f t="shared" si="28"/>
        <v>#DIV/0!</v>
      </c>
      <c r="L60" s="262" t="str">
        <f t="shared" si="28"/>
        <v>#DIV/0!</v>
      </c>
      <c r="M60" s="262" t="str">
        <f t="shared" si="28"/>
        <v>#DIV/0!</v>
      </c>
      <c r="N60" s="262" t="str">
        <f t="shared" si="28"/>
        <v>#DIV/0!</v>
      </c>
      <c r="O60" s="262" t="str">
        <f t="shared" si="28"/>
        <v>#DIV/0!</v>
      </c>
      <c r="P60" s="262">
        <f t="shared" si="28"/>
        <v>0.7158551678</v>
      </c>
      <c r="Q60" s="86"/>
      <c r="R60" s="86"/>
      <c r="S60" s="86"/>
      <c r="T60" s="86"/>
      <c r="U60" s="86"/>
      <c r="V60" s="86"/>
      <c r="W60" s="86"/>
      <c r="X60" s="86"/>
      <c r="Y60" s="86"/>
      <c r="Z60" s="86"/>
    </row>
    <row r="61" ht="12.75" customHeight="1">
      <c r="A61" s="261">
        <v>9.0</v>
      </c>
      <c r="B61" s="198" t="s">
        <v>364</v>
      </c>
      <c r="C61" s="199"/>
      <c r="D61" s="262">
        <f t="shared" ref="D61:N61" si="29">+D21/D20</f>
        <v>0.8866213786</v>
      </c>
      <c r="E61" s="262">
        <f t="shared" si="29"/>
        <v>0.9802713819</v>
      </c>
      <c r="F61" s="262">
        <f t="shared" si="29"/>
        <v>0.9528981015</v>
      </c>
      <c r="G61" s="262">
        <f t="shared" si="29"/>
        <v>1.235869874</v>
      </c>
      <c r="H61" s="262">
        <f t="shared" si="29"/>
        <v>0.8840155948</v>
      </c>
      <c r="I61" s="262">
        <f t="shared" si="29"/>
        <v>0.8022848592</v>
      </c>
      <c r="J61" s="262">
        <f t="shared" si="29"/>
        <v>0</v>
      </c>
      <c r="K61" s="262" t="str">
        <f t="shared" si="29"/>
        <v>#DIV/0!</v>
      </c>
      <c r="L61" s="262" t="str">
        <f t="shared" si="29"/>
        <v>#DIV/0!</v>
      </c>
      <c r="M61" s="262" t="str">
        <f t="shared" si="29"/>
        <v>#DIV/0!</v>
      </c>
      <c r="N61" s="262" t="str">
        <f t="shared" si="29"/>
        <v>#DIV/0!</v>
      </c>
      <c r="O61" s="262" t="str">
        <f>+O21/N20</f>
        <v>#DIV/0!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</row>
    <row r="62" ht="12.75" customHeight="1">
      <c r="A62" s="264">
        <v>10.0</v>
      </c>
      <c r="B62" s="204" t="s">
        <v>365</v>
      </c>
      <c r="C62" s="205"/>
      <c r="D62" s="262">
        <f t="shared" ref="D62:O62" si="30">+D23/D22</f>
        <v>0.8430108887</v>
      </c>
      <c r="E62" s="262">
        <f t="shared" si="30"/>
        <v>0.9738799397</v>
      </c>
      <c r="F62" s="262">
        <f t="shared" si="30"/>
        <v>0.9784671876</v>
      </c>
      <c r="G62" s="262">
        <f t="shared" si="30"/>
        <v>1.06760805</v>
      </c>
      <c r="H62" s="262">
        <f t="shared" si="30"/>
        <v>0.9793316922</v>
      </c>
      <c r="I62" s="262">
        <f t="shared" si="30"/>
        <v>0.8438571044</v>
      </c>
      <c r="J62" s="262">
        <f t="shared" si="30"/>
        <v>0</v>
      </c>
      <c r="K62" s="262" t="str">
        <f t="shared" si="30"/>
        <v>#DIV/0!</v>
      </c>
      <c r="L62" s="262" t="str">
        <f t="shared" si="30"/>
        <v>#DIV/0!</v>
      </c>
      <c r="M62" s="262" t="str">
        <f t="shared" si="30"/>
        <v>#DIV/0!</v>
      </c>
      <c r="N62" s="262" t="str">
        <f t="shared" si="30"/>
        <v>#DIV/0!</v>
      </c>
      <c r="O62" s="262" t="str">
        <f t="shared" si="30"/>
        <v>#DIV/0!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</row>
    <row r="63" ht="12.75" customHeight="1">
      <c r="A63" s="261">
        <v>11.0</v>
      </c>
      <c r="B63" s="198" t="s">
        <v>366</v>
      </c>
      <c r="C63" s="199"/>
      <c r="D63" s="262">
        <f t="shared" ref="D63:N63" si="31">+D25/D24</f>
        <v>0.854493771</v>
      </c>
      <c r="E63" s="262">
        <f t="shared" si="31"/>
        <v>0.9371941693</v>
      </c>
      <c r="F63" s="262">
        <f t="shared" si="31"/>
        <v>0.9232051484</v>
      </c>
      <c r="G63" s="262">
        <f t="shared" si="31"/>
        <v>0.891907572</v>
      </c>
      <c r="H63" s="262">
        <f t="shared" si="31"/>
        <v>0.9298270378</v>
      </c>
      <c r="I63" s="262">
        <f t="shared" si="31"/>
        <v>0.7779981075</v>
      </c>
      <c r="J63" s="262">
        <f t="shared" si="31"/>
        <v>0</v>
      </c>
      <c r="K63" s="262" t="str">
        <f t="shared" si="31"/>
        <v>#DIV/0!</v>
      </c>
      <c r="L63" s="262" t="str">
        <f t="shared" si="31"/>
        <v>#DIV/0!</v>
      </c>
      <c r="M63" s="262" t="str">
        <f t="shared" si="31"/>
        <v>#DIV/0!</v>
      </c>
      <c r="N63" s="262" t="str">
        <f t="shared" si="31"/>
        <v>#DIV/0!</v>
      </c>
      <c r="O63" s="262" t="str">
        <f>+O25/N24</f>
        <v>#DIV/0!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</row>
    <row r="64" ht="12.75" customHeight="1">
      <c r="A64" s="264">
        <v>12.0</v>
      </c>
      <c r="B64" s="204" t="s">
        <v>367</v>
      </c>
      <c r="C64" s="205"/>
      <c r="D64" s="262">
        <f t="shared" ref="D64:O64" si="32">+D27/D26</f>
        <v>0.836273489</v>
      </c>
      <c r="E64" s="262">
        <f t="shared" si="32"/>
        <v>0.8999938184</v>
      </c>
      <c r="F64" s="262">
        <f t="shared" si="32"/>
        <v>0.8917464206</v>
      </c>
      <c r="G64" s="262">
        <f t="shared" si="32"/>
        <v>0.810901451</v>
      </c>
      <c r="H64" s="262">
        <f t="shared" si="32"/>
        <v>0.8356499807</v>
      </c>
      <c r="I64" s="262">
        <f t="shared" si="32"/>
        <v>0.8176262789</v>
      </c>
      <c r="J64" s="262">
        <f t="shared" si="32"/>
        <v>0</v>
      </c>
      <c r="K64" s="262" t="str">
        <f t="shared" si="32"/>
        <v>#DIV/0!</v>
      </c>
      <c r="L64" s="262" t="str">
        <f t="shared" si="32"/>
        <v>#DIV/0!</v>
      </c>
      <c r="M64" s="262" t="str">
        <f t="shared" si="32"/>
        <v>#DIV/0!</v>
      </c>
      <c r="N64" s="262" t="str">
        <f t="shared" si="32"/>
        <v>#DIV/0!</v>
      </c>
      <c r="O64" s="262" t="str">
        <f t="shared" si="32"/>
        <v>#DIV/0!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</row>
    <row r="65" ht="12.75" customHeight="1">
      <c r="A65" s="261">
        <v>13.0</v>
      </c>
      <c r="B65" s="198" t="s">
        <v>368</v>
      </c>
      <c r="C65" s="199"/>
      <c r="D65" s="262">
        <f t="shared" ref="D65:O65" si="33">+D29/D28</f>
        <v>0.8312486191</v>
      </c>
      <c r="E65" s="262">
        <f t="shared" si="33"/>
        <v>0.8978276464</v>
      </c>
      <c r="F65" s="262">
        <f t="shared" si="33"/>
        <v>0.891584009</v>
      </c>
      <c r="G65" s="262">
        <f t="shared" si="33"/>
        <v>0.804817027</v>
      </c>
      <c r="H65" s="262">
        <f t="shared" si="33"/>
        <v>0.8527778338</v>
      </c>
      <c r="I65" s="262">
        <f t="shared" si="33"/>
        <v>0.822589794</v>
      </c>
      <c r="J65" s="262">
        <f t="shared" si="33"/>
        <v>0</v>
      </c>
      <c r="K65" s="262" t="str">
        <f t="shared" si="33"/>
        <v>#DIV/0!</v>
      </c>
      <c r="L65" s="262" t="str">
        <f t="shared" si="33"/>
        <v>#DIV/0!</v>
      </c>
      <c r="M65" s="262" t="str">
        <f t="shared" si="33"/>
        <v>#DIV/0!</v>
      </c>
      <c r="N65" s="262" t="str">
        <f t="shared" si="33"/>
        <v>#DIV/0!</v>
      </c>
      <c r="O65" s="262" t="str">
        <f t="shared" si="33"/>
        <v>#DIV/0!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</row>
    <row r="66" ht="12.75" customHeight="1">
      <c r="A66" s="264">
        <v>14.0</v>
      </c>
      <c r="B66" s="204" t="s">
        <v>369</v>
      </c>
      <c r="C66" s="205"/>
      <c r="D66" s="262">
        <f t="shared" ref="D66:O66" si="34">+D31/D30</f>
        <v>0.833432015</v>
      </c>
      <c r="E66" s="262">
        <f t="shared" si="34"/>
        <v>0.8850953601</v>
      </c>
      <c r="F66" s="262">
        <f t="shared" si="34"/>
        <v>0.8834703836</v>
      </c>
      <c r="G66" s="262">
        <f t="shared" si="34"/>
        <v>0.7930786491</v>
      </c>
      <c r="H66" s="262">
        <f t="shared" si="34"/>
        <v>0.8690808291</v>
      </c>
      <c r="I66" s="262">
        <f t="shared" si="34"/>
        <v>0.7983917953</v>
      </c>
      <c r="J66" s="262">
        <f t="shared" si="34"/>
        <v>0</v>
      </c>
      <c r="K66" s="262" t="str">
        <f t="shared" si="34"/>
        <v>#DIV/0!</v>
      </c>
      <c r="L66" s="262" t="str">
        <f t="shared" si="34"/>
        <v>#DIV/0!</v>
      </c>
      <c r="M66" s="262" t="str">
        <f t="shared" si="34"/>
        <v>#DIV/0!</v>
      </c>
      <c r="N66" s="262" t="str">
        <f t="shared" si="34"/>
        <v>#DIV/0!</v>
      </c>
      <c r="O66" s="262" t="str">
        <f t="shared" si="34"/>
        <v>#DIV/0!</v>
      </c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</row>
    <row r="67" ht="12.75" customHeight="1">
      <c r="A67" s="261">
        <v>15.0</v>
      </c>
      <c r="B67" s="198" t="s">
        <v>370</v>
      </c>
      <c r="C67" s="199"/>
      <c r="D67" s="262">
        <f t="shared" ref="D67:O67" si="35">+D33/D32</f>
        <v>0.8343937909</v>
      </c>
      <c r="E67" s="262">
        <f t="shared" si="35"/>
        <v>0.8967488064</v>
      </c>
      <c r="F67" s="262">
        <f t="shared" si="35"/>
        <v>0.8899977098</v>
      </c>
      <c r="G67" s="262">
        <f t="shared" si="35"/>
        <v>0.8056985987</v>
      </c>
      <c r="H67" s="262">
        <f t="shared" si="35"/>
        <v>0.8465612215</v>
      </c>
      <c r="I67" s="262">
        <f t="shared" si="35"/>
        <v>0.8152064093</v>
      </c>
      <c r="J67" s="262">
        <f t="shared" si="35"/>
        <v>0</v>
      </c>
      <c r="K67" s="262" t="str">
        <f t="shared" si="35"/>
        <v>#DIV/0!</v>
      </c>
      <c r="L67" s="262" t="str">
        <f t="shared" si="35"/>
        <v>#DIV/0!</v>
      </c>
      <c r="M67" s="262" t="str">
        <f t="shared" si="35"/>
        <v>#DIV/0!</v>
      </c>
      <c r="N67" s="262" t="str">
        <f t="shared" si="35"/>
        <v>#DIV/0!</v>
      </c>
      <c r="O67" s="262" t="str">
        <f t="shared" si="35"/>
        <v>#DIV/0!</v>
      </c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</row>
    <row r="68" ht="12.75" hidden="1" customHeight="1">
      <c r="A68" s="266">
        <v>16.0</v>
      </c>
      <c r="B68" s="198" t="s">
        <v>371</v>
      </c>
      <c r="C68" s="199" t="s">
        <v>372</v>
      </c>
      <c r="D68" s="267">
        <f t="shared" ref="D68:O68" si="36">+D13/D10</f>
        <v>0</v>
      </c>
      <c r="E68" s="267">
        <f t="shared" si="36"/>
        <v>0</v>
      </c>
      <c r="F68" s="267">
        <f t="shared" si="36"/>
        <v>0</v>
      </c>
      <c r="G68" s="267">
        <f t="shared" si="36"/>
        <v>0</v>
      </c>
      <c r="H68" s="267">
        <f t="shared" si="36"/>
        <v>0</v>
      </c>
      <c r="I68" s="267">
        <f t="shared" si="36"/>
        <v>0</v>
      </c>
      <c r="J68" s="267" t="str">
        <f t="shared" si="36"/>
        <v>#DIV/0!</v>
      </c>
      <c r="K68" s="267" t="str">
        <f t="shared" si="36"/>
        <v>#DIV/0!</v>
      </c>
      <c r="L68" s="267" t="str">
        <f t="shared" si="36"/>
        <v>#DIV/0!</v>
      </c>
      <c r="M68" s="267" t="str">
        <f t="shared" si="36"/>
        <v>#DIV/0!</v>
      </c>
      <c r="N68" s="267" t="str">
        <f t="shared" si="36"/>
        <v>#DIV/0!</v>
      </c>
      <c r="O68" s="267" t="str">
        <f t="shared" si="36"/>
        <v>#DIV/0!</v>
      </c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</row>
    <row r="69" ht="12.75" hidden="1" customHeight="1">
      <c r="A69" s="268">
        <v>17.0</v>
      </c>
      <c r="B69" s="204" t="s">
        <v>373</v>
      </c>
      <c r="C69" s="205" t="s">
        <v>314</v>
      </c>
      <c r="D69" s="269">
        <f t="shared" ref="D69:O69" si="37">+D11-D12-D13</f>
        <v>8244</v>
      </c>
      <c r="E69" s="269">
        <f t="shared" si="37"/>
        <v>11784</v>
      </c>
      <c r="F69" s="269">
        <f t="shared" si="37"/>
        <v>8843</v>
      </c>
      <c r="G69" s="269">
        <f t="shared" si="37"/>
        <v>9594</v>
      </c>
      <c r="H69" s="269">
        <f t="shared" si="37"/>
        <v>9862</v>
      </c>
      <c r="I69" s="269">
        <f t="shared" si="37"/>
        <v>9633</v>
      </c>
      <c r="J69" s="269">
        <f t="shared" si="37"/>
        <v>0</v>
      </c>
      <c r="K69" s="269">
        <f t="shared" si="37"/>
        <v>0</v>
      </c>
      <c r="L69" s="269">
        <f t="shared" si="37"/>
        <v>0</v>
      </c>
      <c r="M69" s="269">
        <f t="shared" si="37"/>
        <v>0</v>
      </c>
      <c r="N69" s="269">
        <f t="shared" si="37"/>
        <v>0</v>
      </c>
      <c r="O69" s="269">
        <f t="shared" si="37"/>
        <v>0</v>
      </c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</row>
    <row r="70" ht="12.75" customHeight="1">
      <c r="A70" s="190"/>
      <c r="B70" s="191" t="s">
        <v>374</v>
      </c>
      <c r="C70" s="190"/>
      <c r="D70" s="227">
        <f t="shared" ref="D70:O70" si="38">+(D9-D10)/D6</f>
        <v>8.55186722</v>
      </c>
      <c r="E70" s="227">
        <f t="shared" si="38"/>
        <v>1.62993763</v>
      </c>
      <c r="F70" s="227">
        <f t="shared" si="38"/>
        <v>9.419522326</v>
      </c>
      <c r="G70" s="227">
        <f t="shared" si="38"/>
        <v>5.609278351</v>
      </c>
      <c r="H70" s="227">
        <f t="shared" si="38"/>
        <v>5.896938776</v>
      </c>
      <c r="I70" s="227">
        <f t="shared" si="38"/>
        <v>5.664285714</v>
      </c>
      <c r="J70" s="227" t="str">
        <f t="shared" si="38"/>
        <v>#DIV/0!</v>
      </c>
      <c r="K70" s="227" t="str">
        <f t="shared" si="38"/>
        <v>#DIV/0!</v>
      </c>
      <c r="L70" s="227" t="str">
        <f t="shared" si="38"/>
        <v>#DIV/0!</v>
      </c>
      <c r="M70" s="227" t="str">
        <f t="shared" si="38"/>
        <v>#DIV/0!</v>
      </c>
      <c r="N70" s="227" t="str">
        <f t="shared" si="38"/>
        <v>#DIV/0!</v>
      </c>
      <c r="O70" s="227" t="str">
        <f t="shared" si="38"/>
        <v>#DIV/0!</v>
      </c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</row>
    <row r="71" ht="12.75" customHeight="1">
      <c r="A71" s="190"/>
      <c r="B71" s="270" t="s">
        <v>375</v>
      </c>
      <c r="D71" s="271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</row>
    <row r="72" ht="12.75" customHeight="1">
      <c r="A72" s="190"/>
      <c r="B72" s="191"/>
      <c r="C72" s="190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</row>
    <row r="73" ht="12.75" customHeight="1">
      <c r="A73" s="190"/>
      <c r="B73" s="191"/>
      <c r="C73" s="190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</row>
    <row r="74" ht="12.75" customHeight="1">
      <c r="A74" s="190"/>
      <c r="B74" s="191"/>
      <c r="C74" s="190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</row>
    <row r="75" ht="12.75" customHeight="1">
      <c r="A75" s="190"/>
      <c r="B75" s="191"/>
      <c r="C75" s="190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</row>
    <row r="76" ht="12.75" customHeight="1">
      <c r="A76" s="190"/>
      <c r="B76" s="191"/>
      <c r="C76" s="190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</row>
    <row r="77" ht="12.75" customHeight="1">
      <c r="A77" s="190"/>
      <c r="B77" s="191"/>
      <c r="C77" s="190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</row>
    <row r="78" ht="12.75" customHeight="1">
      <c r="A78" s="190"/>
      <c r="B78" s="191"/>
      <c r="C78" s="190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</row>
    <row r="79" ht="12.75" customHeight="1">
      <c r="A79" s="190"/>
      <c r="B79" s="191"/>
      <c r="C79" s="190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</row>
    <row r="80" ht="12.75" customHeight="1">
      <c r="A80" s="190"/>
      <c r="B80" s="191"/>
      <c r="C80" s="190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</row>
    <row r="81" ht="12.75" customHeight="1">
      <c r="A81" s="190"/>
      <c r="B81" s="191"/>
      <c r="C81" s="190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</row>
    <row r="82" ht="12.75" customHeight="1">
      <c r="A82" s="190"/>
      <c r="B82" s="191"/>
      <c r="C82" s="190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</row>
    <row r="83" ht="12.75" customHeight="1">
      <c r="A83" s="190"/>
      <c r="B83" s="191"/>
      <c r="C83" s="190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</row>
    <row r="84" ht="12.75" customHeight="1">
      <c r="A84" s="190"/>
      <c r="B84" s="191"/>
      <c r="C84" s="190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</row>
    <row r="85" ht="12.75" customHeight="1">
      <c r="A85" s="190"/>
      <c r="B85" s="191"/>
      <c r="C85" s="190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</row>
    <row r="86" ht="12.75" customHeight="1">
      <c r="A86" s="190"/>
      <c r="B86" s="191"/>
      <c r="C86" s="190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</row>
    <row r="87" ht="12.75" customHeight="1">
      <c r="A87" s="190"/>
      <c r="B87" s="270" t="s">
        <v>376</v>
      </c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</row>
    <row r="88" ht="12.75" customHeight="1">
      <c r="A88" s="190"/>
      <c r="B88" s="191"/>
      <c r="C88" s="190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</row>
    <row r="89" ht="12.75" customHeight="1">
      <c r="A89" s="190"/>
      <c r="B89" s="191"/>
      <c r="C89" s="190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</row>
    <row r="90" ht="12.75" customHeight="1">
      <c r="A90" s="190"/>
      <c r="B90" s="191"/>
      <c r="C90" s="190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</row>
    <row r="91" ht="12.75" customHeight="1">
      <c r="A91" s="190"/>
      <c r="B91" s="191"/>
      <c r="C91" s="190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</row>
    <row r="92" ht="12.75" customHeight="1">
      <c r="A92" s="190"/>
      <c r="B92" s="191"/>
      <c r="C92" s="190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</row>
    <row r="93" ht="12.75" customHeight="1">
      <c r="A93" s="190"/>
      <c r="B93" s="191"/>
      <c r="C93" s="190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</row>
    <row r="94" ht="14.25" customHeight="1">
      <c r="A94" s="190"/>
      <c r="B94" s="191"/>
      <c r="C94" s="190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</row>
    <row r="95" ht="12.75" customHeight="1">
      <c r="A95" s="190"/>
      <c r="B95" s="191"/>
      <c r="C95" s="190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</row>
    <row r="96" ht="12.75" customHeight="1">
      <c r="A96" s="190"/>
      <c r="B96" s="191"/>
      <c r="C96" s="272"/>
      <c r="D96" s="192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</row>
    <row r="97" ht="12.75" customHeight="1">
      <c r="A97" s="190"/>
      <c r="B97" s="191"/>
      <c r="C97" s="272"/>
      <c r="D97" s="192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</row>
    <row r="98" ht="12.75" customHeight="1">
      <c r="A98" s="190"/>
      <c r="B98" s="270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</row>
    <row r="99" ht="12.75" customHeight="1">
      <c r="A99" s="190"/>
      <c r="B99" s="191"/>
      <c r="C99" s="190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</row>
    <row r="100" ht="12.75" customHeight="1">
      <c r="A100" s="190"/>
      <c r="B100" s="191"/>
      <c r="C100" s="190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</row>
    <row r="101" ht="12.75" customHeight="1">
      <c r="A101" s="190"/>
      <c r="B101" s="191"/>
      <c r="C101" s="190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</row>
    <row r="102" ht="12.75" customHeight="1">
      <c r="A102" s="190"/>
      <c r="B102" s="191"/>
      <c r="C102" s="190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</row>
    <row r="103" ht="12.75" customHeight="1">
      <c r="A103" s="190"/>
      <c r="B103" s="191"/>
      <c r="C103" s="190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</row>
    <row r="104" ht="12.75" customHeight="1">
      <c r="A104" s="190"/>
      <c r="B104" s="191"/>
      <c r="C104" s="190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</row>
    <row r="105" ht="12.75" customHeight="1">
      <c r="A105" s="190"/>
      <c r="B105" s="191"/>
      <c r="C105" s="190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</row>
    <row r="106" ht="12.75" customHeight="1">
      <c r="A106" s="190"/>
      <c r="B106" s="191"/>
      <c r="C106" s="190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</row>
    <row r="107" ht="12.75" customHeight="1">
      <c r="A107" s="190"/>
      <c r="B107" s="191"/>
      <c r="C107" s="190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</row>
    <row r="108" ht="12.75" customHeight="1">
      <c r="A108" s="190"/>
      <c r="B108" s="191"/>
      <c r="C108" s="190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</row>
    <row r="109" ht="12.75" customHeight="1">
      <c r="A109" s="190"/>
      <c r="B109" s="191"/>
      <c r="C109" s="190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</row>
    <row r="110" ht="12.75" customHeight="1">
      <c r="A110" s="190"/>
      <c r="B110" s="191"/>
      <c r="C110" s="190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</row>
    <row r="111" ht="12.75" customHeight="1">
      <c r="A111" s="190"/>
      <c r="B111" s="191"/>
      <c r="C111" s="190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</row>
    <row r="112" ht="12.75" customHeight="1">
      <c r="A112" s="190"/>
      <c r="B112" s="191"/>
      <c r="C112" s="190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</row>
    <row r="113" ht="12.75" customHeight="1">
      <c r="A113" s="190"/>
      <c r="B113" s="191"/>
      <c r="C113" s="190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</row>
    <row r="114" ht="12.75" customHeight="1">
      <c r="A114" s="190"/>
      <c r="B114" s="191"/>
      <c r="C114" s="190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</row>
    <row r="115" ht="12.75" customHeight="1">
      <c r="A115" s="190"/>
      <c r="B115" s="191"/>
      <c r="C115" s="190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</row>
    <row r="116" ht="12.75" customHeight="1">
      <c r="A116" s="190"/>
      <c r="B116" s="191"/>
      <c r="C116" s="190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</row>
    <row r="117" ht="12.75" customHeight="1">
      <c r="A117" s="190"/>
      <c r="B117" s="191"/>
      <c r="C117" s="190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</row>
    <row r="118" ht="12.75" customHeight="1">
      <c r="A118" s="190"/>
      <c r="B118" s="191"/>
      <c r="C118" s="190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</row>
    <row r="119" ht="12.75" customHeight="1">
      <c r="A119" s="190"/>
      <c r="B119" s="191"/>
      <c r="C119" s="190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</row>
    <row r="120" ht="12.75" customHeight="1">
      <c r="A120" s="190"/>
      <c r="B120" s="191"/>
      <c r="C120" s="190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</row>
    <row r="121" ht="12.75" customHeight="1">
      <c r="A121" s="190"/>
      <c r="B121" s="191"/>
      <c r="C121" s="190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</row>
    <row r="122" ht="12.75" customHeight="1">
      <c r="A122" s="190"/>
      <c r="B122" s="191"/>
      <c r="C122" s="190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</row>
    <row r="123" ht="12.75" customHeight="1">
      <c r="A123" s="190"/>
      <c r="B123" s="191"/>
      <c r="C123" s="190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</row>
    <row r="124" ht="12.75" customHeight="1">
      <c r="A124" s="190"/>
      <c r="B124" s="191"/>
      <c r="C124" s="190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</row>
    <row r="125" ht="12.75" customHeight="1">
      <c r="A125" s="190"/>
      <c r="B125" s="191"/>
      <c r="C125" s="190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</row>
    <row r="126" ht="12.75" customHeight="1">
      <c r="A126" s="190"/>
      <c r="B126" s="191"/>
      <c r="C126" s="190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</row>
    <row r="127" ht="12.75" customHeight="1">
      <c r="A127" s="190"/>
      <c r="B127" s="191"/>
      <c r="C127" s="190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</row>
    <row r="128" ht="12.75" customHeight="1">
      <c r="A128" s="190"/>
      <c r="B128" s="191"/>
      <c r="C128" s="190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</row>
    <row r="129" ht="12.75" customHeight="1">
      <c r="A129" s="190"/>
      <c r="B129" s="191"/>
      <c r="C129" s="190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</row>
    <row r="130" ht="12.75" customHeight="1">
      <c r="A130" s="190"/>
      <c r="B130" s="191"/>
      <c r="C130" s="190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</row>
    <row r="131" ht="12.75" customHeight="1">
      <c r="A131" s="190"/>
      <c r="B131" s="191"/>
      <c r="C131" s="190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</row>
    <row r="132" ht="12.75" customHeight="1">
      <c r="A132" s="190"/>
      <c r="B132" s="191"/>
      <c r="C132" s="190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</row>
    <row r="133" ht="12.75" customHeight="1">
      <c r="A133" s="190"/>
      <c r="B133" s="191"/>
      <c r="C133" s="190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</row>
    <row r="134" ht="12.75" customHeight="1">
      <c r="A134" s="190"/>
      <c r="B134" s="191"/>
      <c r="C134" s="190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</row>
    <row r="135" ht="12.75" customHeight="1">
      <c r="A135" s="190"/>
      <c r="B135" s="191"/>
      <c r="C135" s="190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</row>
    <row r="136" ht="12.75" customHeight="1">
      <c r="A136" s="190"/>
      <c r="B136" s="191"/>
      <c r="C136" s="190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</row>
    <row r="137" ht="12.75" customHeight="1">
      <c r="A137" s="190"/>
      <c r="B137" s="191"/>
      <c r="C137" s="190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</row>
    <row r="138" ht="12.75" customHeight="1">
      <c r="A138" s="190"/>
      <c r="B138" s="191"/>
      <c r="C138" s="190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</row>
    <row r="139" ht="12.75" customHeight="1">
      <c r="A139" s="190"/>
      <c r="B139" s="191"/>
      <c r="C139" s="190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</row>
    <row r="140" ht="12.75" customHeight="1">
      <c r="A140" s="190"/>
      <c r="B140" s="191"/>
      <c r="C140" s="190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</row>
    <row r="141" ht="12.75" customHeight="1">
      <c r="A141" s="190"/>
      <c r="B141" s="191"/>
      <c r="C141" s="190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</row>
    <row r="142" ht="12.75" customHeight="1">
      <c r="A142" s="190"/>
      <c r="B142" s="191"/>
      <c r="C142" s="190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</row>
    <row r="143" ht="12.75" customHeight="1">
      <c r="A143" s="190"/>
      <c r="B143" s="191"/>
      <c r="C143" s="190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</row>
    <row r="144" ht="12.75" customHeight="1">
      <c r="A144" s="190"/>
      <c r="B144" s="191"/>
      <c r="C144" s="190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</row>
    <row r="145" ht="12.75" customHeight="1">
      <c r="A145" s="190"/>
      <c r="B145" s="191"/>
      <c r="C145" s="190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</row>
    <row r="146" ht="12.75" customHeight="1">
      <c r="A146" s="190"/>
      <c r="B146" s="191"/>
      <c r="C146" s="190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</row>
    <row r="147" ht="12.75" customHeight="1">
      <c r="A147" s="190"/>
      <c r="B147" s="191"/>
      <c r="C147" s="190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</row>
    <row r="148" ht="12.75" customHeight="1">
      <c r="A148" s="190"/>
      <c r="B148" s="191"/>
      <c r="C148" s="190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</row>
    <row r="149" ht="12.75" customHeight="1">
      <c r="A149" s="190"/>
      <c r="B149" s="191"/>
      <c r="C149" s="190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</row>
    <row r="150" ht="12.75" customHeight="1">
      <c r="A150" s="190"/>
      <c r="B150" s="191"/>
      <c r="C150" s="190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</row>
    <row r="151" ht="12.75" customHeight="1">
      <c r="A151" s="190"/>
      <c r="B151" s="191"/>
      <c r="C151" s="190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</row>
    <row r="152" ht="12.75" customHeight="1">
      <c r="A152" s="190"/>
      <c r="B152" s="191"/>
      <c r="C152" s="190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</row>
    <row r="153" ht="12.75" customHeight="1">
      <c r="A153" s="190"/>
      <c r="B153" s="191"/>
      <c r="C153" s="190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</row>
    <row r="154" ht="12.75" customHeight="1">
      <c r="A154" s="190"/>
      <c r="B154" s="191"/>
      <c r="C154" s="190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</row>
    <row r="155" ht="12.75" customHeight="1">
      <c r="A155" s="190"/>
      <c r="B155" s="191"/>
      <c r="C155" s="190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</row>
    <row r="156" ht="12.75" customHeight="1">
      <c r="A156" s="190"/>
      <c r="B156" s="191"/>
      <c r="C156" s="190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</row>
    <row r="157" ht="12.75" customHeight="1">
      <c r="A157" s="190"/>
      <c r="B157" s="191"/>
      <c r="C157" s="190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</row>
    <row r="158" ht="12.75" customHeight="1">
      <c r="A158" s="190"/>
      <c r="B158" s="191"/>
      <c r="C158" s="190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</row>
    <row r="159" ht="12.75" customHeight="1">
      <c r="A159" s="190"/>
      <c r="B159" s="191"/>
      <c r="C159" s="190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</row>
    <row r="160" ht="12.75" customHeight="1">
      <c r="A160" s="190"/>
      <c r="B160" s="191"/>
      <c r="C160" s="190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</row>
    <row r="161" ht="12.75" customHeight="1">
      <c r="A161" s="190"/>
      <c r="B161" s="191"/>
      <c r="C161" s="190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</row>
    <row r="162" ht="12.75" customHeight="1">
      <c r="A162" s="190"/>
      <c r="B162" s="191"/>
      <c r="C162" s="190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</row>
    <row r="163" ht="12.75" customHeight="1">
      <c r="A163" s="190"/>
      <c r="B163" s="191"/>
      <c r="C163" s="190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</row>
    <row r="164" ht="12.75" customHeight="1">
      <c r="A164" s="190"/>
      <c r="B164" s="191"/>
      <c r="C164" s="190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</row>
    <row r="165" ht="12.75" customHeight="1">
      <c r="A165" s="190"/>
      <c r="B165" s="191"/>
      <c r="C165" s="190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</row>
    <row r="166" ht="12.75" customHeight="1">
      <c r="A166" s="190"/>
      <c r="B166" s="191"/>
      <c r="C166" s="190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</row>
    <row r="167" ht="12.75" customHeight="1">
      <c r="A167" s="190"/>
      <c r="B167" s="191"/>
      <c r="C167" s="190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</row>
    <row r="168" ht="12.75" customHeight="1">
      <c r="A168" s="190"/>
      <c r="B168" s="191"/>
      <c r="C168" s="190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</row>
    <row r="169" ht="12.75" customHeight="1">
      <c r="A169" s="190"/>
      <c r="B169" s="191"/>
      <c r="C169" s="190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</row>
    <row r="170" ht="12.75" customHeight="1">
      <c r="A170" s="190"/>
      <c r="B170" s="191"/>
      <c r="C170" s="190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</row>
    <row r="171" ht="12.75" customHeight="1">
      <c r="A171" s="190"/>
      <c r="B171" s="191"/>
      <c r="C171" s="190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</row>
    <row r="172" ht="12.75" customHeight="1">
      <c r="A172" s="190"/>
      <c r="B172" s="191"/>
      <c r="C172" s="190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</row>
    <row r="173" ht="12.75" customHeight="1">
      <c r="A173" s="190"/>
      <c r="B173" s="191"/>
      <c r="C173" s="190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</row>
    <row r="174" ht="12.75" customHeight="1">
      <c r="A174" s="190"/>
      <c r="B174" s="191"/>
      <c r="C174" s="190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</row>
    <row r="175" ht="12.75" customHeight="1">
      <c r="A175" s="190"/>
      <c r="B175" s="191"/>
      <c r="C175" s="190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</row>
    <row r="176" ht="12.75" customHeight="1">
      <c r="A176" s="190"/>
      <c r="B176" s="191"/>
      <c r="C176" s="190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</row>
    <row r="177" ht="12.75" customHeight="1">
      <c r="A177" s="190"/>
      <c r="B177" s="191"/>
      <c r="C177" s="190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</row>
    <row r="178" ht="12.75" customHeight="1">
      <c r="A178" s="190"/>
      <c r="B178" s="191"/>
      <c r="C178" s="190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</row>
    <row r="179" ht="12.75" customHeight="1">
      <c r="A179" s="190"/>
      <c r="B179" s="191"/>
      <c r="C179" s="190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</row>
    <row r="180" ht="12.75" customHeight="1">
      <c r="A180" s="190"/>
      <c r="B180" s="191"/>
      <c r="C180" s="190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</row>
    <row r="181" ht="12.75" customHeight="1">
      <c r="A181" s="190"/>
      <c r="B181" s="191"/>
      <c r="C181" s="190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</row>
    <row r="182" ht="12.75" customHeight="1">
      <c r="A182" s="190"/>
      <c r="B182" s="191"/>
      <c r="C182" s="190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</row>
    <row r="183" ht="12.75" customHeight="1">
      <c r="A183" s="190"/>
      <c r="B183" s="191"/>
      <c r="C183" s="190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</row>
    <row r="184" ht="12.75" customHeight="1">
      <c r="A184" s="190"/>
      <c r="B184" s="191"/>
      <c r="C184" s="190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</row>
    <row r="185" ht="12.75" customHeight="1">
      <c r="A185" s="190"/>
      <c r="B185" s="191"/>
      <c r="C185" s="190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</row>
    <row r="186" ht="12.75" customHeight="1">
      <c r="A186" s="190"/>
      <c r="B186" s="191"/>
      <c r="C186" s="190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</row>
    <row r="187" ht="12.75" customHeight="1">
      <c r="A187" s="190"/>
      <c r="B187" s="191"/>
      <c r="C187" s="190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</row>
    <row r="188" ht="12.75" customHeight="1">
      <c r="A188" s="190"/>
      <c r="B188" s="191"/>
      <c r="C188" s="190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</row>
    <row r="189" ht="12.75" customHeight="1">
      <c r="A189" s="190"/>
      <c r="B189" s="191"/>
      <c r="C189" s="190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</row>
    <row r="190" ht="12.75" customHeight="1">
      <c r="A190" s="190"/>
      <c r="B190" s="191"/>
      <c r="C190" s="190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</row>
    <row r="191" ht="12.75" customHeight="1">
      <c r="A191" s="190"/>
      <c r="B191" s="191"/>
      <c r="C191" s="190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</row>
    <row r="192" ht="12.75" customHeight="1">
      <c r="A192" s="190"/>
      <c r="B192" s="191"/>
      <c r="C192" s="190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</row>
    <row r="193" ht="12.75" customHeight="1">
      <c r="A193" s="190"/>
      <c r="B193" s="191"/>
      <c r="C193" s="190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</row>
    <row r="194" ht="12.75" customHeight="1">
      <c r="A194" s="190"/>
      <c r="B194" s="191"/>
      <c r="C194" s="190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</row>
    <row r="195" ht="12.75" customHeight="1">
      <c r="A195" s="190"/>
      <c r="B195" s="191"/>
      <c r="C195" s="190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</row>
    <row r="196" ht="12.75" customHeight="1">
      <c r="A196" s="190"/>
      <c r="B196" s="191"/>
      <c r="C196" s="190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</row>
    <row r="197" ht="12.75" customHeight="1">
      <c r="A197" s="190"/>
      <c r="B197" s="191"/>
      <c r="C197" s="190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</row>
    <row r="198" ht="12.75" customHeight="1">
      <c r="A198" s="190"/>
      <c r="B198" s="191"/>
      <c r="C198" s="190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</row>
    <row r="199" ht="12.75" customHeight="1">
      <c r="A199" s="190"/>
      <c r="B199" s="191"/>
      <c r="C199" s="190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</row>
    <row r="200" ht="12.75" customHeight="1">
      <c r="A200" s="190"/>
      <c r="B200" s="191"/>
      <c r="C200" s="190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</row>
    <row r="201" ht="12.75" customHeight="1">
      <c r="A201" s="190"/>
      <c r="B201" s="191"/>
      <c r="C201" s="190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</row>
    <row r="202" ht="12.75" customHeight="1">
      <c r="A202" s="190"/>
      <c r="B202" s="191"/>
      <c r="C202" s="190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</row>
    <row r="203" ht="12.75" customHeight="1">
      <c r="A203" s="190"/>
      <c r="B203" s="191"/>
      <c r="C203" s="190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</row>
    <row r="204" ht="12.75" customHeight="1">
      <c r="A204" s="190"/>
      <c r="B204" s="191"/>
      <c r="C204" s="190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</row>
    <row r="205" ht="12.75" customHeight="1">
      <c r="A205" s="190"/>
      <c r="B205" s="191"/>
      <c r="C205" s="190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</row>
    <row r="206" ht="12.75" customHeight="1">
      <c r="A206" s="190"/>
      <c r="B206" s="191"/>
      <c r="C206" s="190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</row>
    <row r="207" ht="12.75" customHeight="1">
      <c r="A207" s="190"/>
      <c r="B207" s="191"/>
      <c r="C207" s="190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</row>
    <row r="208" ht="12.75" customHeight="1">
      <c r="A208" s="190"/>
      <c r="B208" s="191"/>
      <c r="C208" s="190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</row>
    <row r="209" ht="12.75" customHeight="1">
      <c r="A209" s="190"/>
      <c r="B209" s="191"/>
      <c r="C209" s="190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</row>
    <row r="210" ht="12.75" customHeight="1">
      <c r="A210" s="190"/>
      <c r="B210" s="191"/>
      <c r="C210" s="190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</row>
    <row r="211" ht="12.75" customHeight="1">
      <c r="A211" s="190"/>
      <c r="B211" s="191"/>
      <c r="C211" s="190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</row>
    <row r="212" ht="12.75" customHeight="1">
      <c r="A212" s="190"/>
      <c r="B212" s="191"/>
      <c r="C212" s="190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</row>
    <row r="213" ht="12.75" customHeight="1">
      <c r="A213" s="190"/>
      <c r="B213" s="191"/>
      <c r="C213" s="190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</row>
    <row r="214" ht="12.75" customHeight="1">
      <c r="A214" s="190"/>
      <c r="B214" s="191"/>
      <c r="C214" s="190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</row>
    <row r="215" ht="12.75" customHeight="1">
      <c r="A215" s="190"/>
      <c r="B215" s="191"/>
      <c r="C215" s="190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</row>
    <row r="216" ht="12.75" customHeight="1">
      <c r="A216" s="190"/>
      <c r="B216" s="191"/>
      <c r="C216" s="190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</row>
    <row r="217" ht="12.75" customHeight="1">
      <c r="A217" s="190"/>
      <c r="B217" s="191"/>
      <c r="C217" s="190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</row>
    <row r="218" ht="12.75" customHeight="1">
      <c r="A218" s="190"/>
      <c r="B218" s="191"/>
      <c r="C218" s="190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</row>
    <row r="219" ht="12.75" customHeight="1">
      <c r="A219" s="190"/>
      <c r="B219" s="191"/>
      <c r="C219" s="190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</row>
    <row r="220" ht="12.75" customHeight="1">
      <c r="A220" s="190"/>
      <c r="B220" s="191"/>
      <c r="C220" s="190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</row>
    <row r="221" ht="12.75" customHeight="1">
      <c r="A221" s="190"/>
      <c r="B221" s="191"/>
      <c r="C221" s="190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</row>
    <row r="222" ht="12.75" customHeight="1">
      <c r="A222" s="190"/>
      <c r="B222" s="191"/>
      <c r="C222" s="190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</row>
    <row r="223" ht="12.75" customHeight="1">
      <c r="A223" s="190"/>
      <c r="B223" s="191"/>
      <c r="C223" s="190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</row>
    <row r="224" ht="12.75" customHeight="1">
      <c r="A224" s="190"/>
      <c r="B224" s="191"/>
      <c r="C224" s="190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</row>
    <row r="225" ht="12.75" customHeight="1">
      <c r="A225" s="190"/>
      <c r="B225" s="191"/>
      <c r="C225" s="190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</row>
    <row r="226" ht="12.75" customHeight="1">
      <c r="A226" s="190"/>
      <c r="B226" s="191"/>
      <c r="C226" s="190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</row>
    <row r="227" ht="12.75" customHeight="1">
      <c r="A227" s="190"/>
      <c r="B227" s="191"/>
      <c r="C227" s="190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</row>
    <row r="228" ht="12.75" customHeight="1">
      <c r="A228" s="190"/>
      <c r="B228" s="191"/>
      <c r="C228" s="190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</row>
    <row r="229" ht="12.75" customHeight="1">
      <c r="A229" s="190"/>
      <c r="B229" s="191"/>
      <c r="C229" s="190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</row>
    <row r="230" ht="12.75" customHeight="1">
      <c r="A230" s="190"/>
      <c r="B230" s="191"/>
      <c r="C230" s="190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</row>
    <row r="231" ht="12.75" customHeight="1">
      <c r="A231" s="190"/>
      <c r="B231" s="191"/>
      <c r="C231" s="190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</row>
    <row r="232" ht="12.75" customHeight="1">
      <c r="A232" s="190"/>
      <c r="B232" s="191"/>
      <c r="C232" s="190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</row>
    <row r="233" ht="12.75" customHeight="1">
      <c r="A233" s="190"/>
      <c r="B233" s="191"/>
      <c r="C233" s="190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</row>
    <row r="234" ht="12.75" customHeight="1">
      <c r="A234" s="190"/>
      <c r="B234" s="191"/>
      <c r="C234" s="190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</row>
    <row r="235" ht="12.75" customHeight="1">
      <c r="A235" s="190"/>
      <c r="B235" s="191"/>
      <c r="C235" s="190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</row>
    <row r="236" ht="12.75" customHeight="1">
      <c r="A236" s="190"/>
      <c r="B236" s="191"/>
      <c r="C236" s="190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</row>
    <row r="237" ht="12.75" customHeight="1">
      <c r="A237" s="190"/>
      <c r="B237" s="191"/>
      <c r="C237" s="190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</row>
    <row r="238" ht="12.75" customHeight="1">
      <c r="A238" s="190"/>
      <c r="B238" s="191"/>
      <c r="C238" s="190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</row>
    <row r="239" ht="12.75" customHeight="1">
      <c r="A239" s="190"/>
      <c r="B239" s="191"/>
      <c r="C239" s="190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</row>
    <row r="240" ht="12.75" customHeight="1">
      <c r="A240" s="190"/>
      <c r="B240" s="191"/>
      <c r="C240" s="190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</row>
    <row r="241" ht="12.75" customHeight="1">
      <c r="A241" s="190"/>
      <c r="B241" s="191"/>
      <c r="C241" s="190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</row>
    <row r="242" ht="12.75" customHeight="1">
      <c r="A242" s="190"/>
      <c r="B242" s="191"/>
      <c r="C242" s="190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</row>
    <row r="243" ht="12.75" customHeight="1">
      <c r="A243" s="190"/>
      <c r="B243" s="191"/>
      <c r="C243" s="190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</row>
    <row r="244" ht="12.75" customHeight="1">
      <c r="A244" s="190"/>
      <c r="B244" s="191"/>
      <c r="C244" s="190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</row>
    <row r="245" ht="12.75" customHeight="1">
      <c r="A245" s="190"/>
      <c r="B245" s="191"/>
      <c r="C245" s="190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</row>
    <row r="246" ht="12.75" customHeight="1">
      <c r="A246" s="190"/>
      <c r="B246" s="191"/>
      <c r="C246" s="190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</row>
    <row r="247" ht="12.75" customHeight="1">
      <c r="A247" s="190"/>
      <c r="B247" s="191"/>
      <c r="C247" s="190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</row>
    <row r="248" ht="12.75" customHeight="1">
      <c r="A248" s="190"/>
      <c r="B248" s="191"/>
      <c r="C248" s="190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</row>
    <row r="249" ht="12.75" customHeight="1">
      <c r="A249" s="190"/>
      <c r="B249" s="191"/>
      <c r="C249" s="190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</row>
    <row r="250" ht="12.75" customHeight="1">
      <c r="A250" s="190"/>
      <c r="B250" s="191"/>
      <c r="C250" s="190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</row>
    <row r="251" ht="12.75" customHeight="1">
      <c r="A251" s="190"/>
      <c r="B251" s="191"/>
      <c r="C251" s="190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</row>
    <row r="252" ht="12.75" customHeight="1">
      <c r="A252" s="190"/>
      <c r="B252" s="191"/>
      <c r="C252" s="190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</row>
    <row r="253" ht="12.75" customHeight="1">
      <c r="A253" s="190"/>
      <c r="B253" s="191"/>
      <c r="C253" s="190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</row>
    <row r="254" ht="12.75" customHeight="1">
      <c r="A254" s="190"/>
      <c r="B254" s="191"/>
      <c r="C254" s="190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</row>
    <row r="255" ht="12.75" customHeight="1">
      <c r="A255" s="190"/>
      <c r="B255" s="191"/>
      <c r="C255" s="190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</row>
    <row r="256" ht="12.75" customHeight="1">
      <c r="A256" s="190"/>
      <c r="B256" s="191"/>
      <c r="C256" s="190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</row>
    <row r="257" ht="12.75" customHeight="1">
      <c r="A257" s="190"/>
      <c r="B257" s="191"/>
      <c r="C257" s="190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</row>
    <row r="258" ht="12.75" customHeight="1">
      <c r="A258" s="190"/>
      <c r="B258" s="191"/>
      <c r="C258" s="190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</row>
    <row r="259" ht="12.75" customHeight="1">
      <c r="A259" s="190"/>
      <c r="B259" s="191"/>
      <c r="C259" s="190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</row>
    <row r="260" ht="12.75" customHeight="1">
      <c r="A260" s="190"/>
      <c r="B260" s="191"/>
      <c r="C260" s="190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</row>
    <row r="261" ht="12.75" customHeight="1">
      <c r="A261" s="190"/>
      <c r="B261" s="191"/>
      <c r="C261" s="190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</row>
    <row r="262" ht="12.75" customHeight="1">
      <c r="A262" s="190"/>
      <c r="B262" s="191"/>
      <c r="C262" s="190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</row>
    <row r="263" ht="12.75" customHeight="1">
      <c r="A263" s="190"/>
      <c r="B263" s="191"/>
      <c r="C263" s="190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</row>
    <row r="264" ht="12.75" customHeight="1">
      <c r="A264" s="190"/>
      <c r="B264" s="191"/>
      <c r="C264" s="190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</row>
    <row r="265" ht="12.75" customHeight="1">
      <c r="A265" s="190"/>
      <c r="B265" s="191"/>
      <c r="C265" s="190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</row>
    <row r="266" ht="12.75" customHeight="1">
      <c r="A266" s="190"/>
      <c r="B266" s="191"/>
      <c r="C266" s="190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</row>
    <row r="267" ht="12.75" customHeight="1">
      <c r="A267" s="190"/>
      <c r="B267" s="191"/>
      <c r="C267" s="190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</row>
    <row r="268" ht="12.75" customHeight="1">
      <c r="A268" s="190"/>
      <c r="B268" s="191"/>
      <c r="C268" s="190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</row>
    <row r="269" ht="12.75" customHeight="1">
      <c r="A269" s="190"/>
      <c r="B269" s="191"/>
      <c r="C269" s="190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</row>
    <row r="270" ht="12.75" customHeight="1">
      <c r="A270" s="190"/>
      <c r="B270" s="191"/>
      <c r="C270" s="190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</row>
    <row r="271" ht="12.75" customHeight="1">
      <c r="A271" s="190"/>
      <c r="B271" s="191"/>
      <c r="C271" s="190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</row>
    <row r="272" ht="12.75" customHeight="1">
      <c r="A272" s="190"/>
      <c r="B272" s="191"/>
      <c r="C272" s="190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</row>
    <row r="273" ht="12.75" customHeight="1">
      <c r="A273" s="190"/>
      <c r="B273" s="191"/>
      <c r="C273" s="190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</row>
    <row r="274" ht="12.75" customHeight="1">
      <c r="A274" s="190"/>
      <c r="B274" s="191"/>
      <c r="C274" s="190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</row>
    <row r="275" ht="12.75" customHeight="1">
      <c r="A275" s="190"/>
      <c r="B275" s="191"/>
      <c r="C275" s="190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</row>
    <row r="276" ht="12.75" customHeight="1">
      <c r="A276" s="190"/>
      <c r="B276" s="191"/>
      <c r="C276" s="190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</row>
    <row r="277" ht="12.75" customHeight="1">
      <c r="A277" s="190"/>
      <c r="B277" s="191"/>
      <c r="C277" s="190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</row>
    <row r="278" ht="12.75" customHeight="1">
      <c r="A278" s="190"/>
      <c r="B278" s="191"/>
      <c r="C278" s="190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</row>
    <row r="279" ht="12.75" customHeight="1">
      <c r="A279" s="190"/>
      <c r="B279" s="191"/>
      <c r="C279" s="190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</row>
    <row r="280" ht="12.75" customHeight="1">
      <c r="A280" s="190"/>
      <c r="B280" s="191"/>
      <c r="C280" s="190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</row>
    <row r="281" ht="12.75" customHeight="1">
      <c r="A281" s="190"/>
      <c r="B281" s="191"/>
      <c r="C281" s="190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</row>
    <row r="282" ht="12.75" customHeight="1">
      <c r="A282" s="190"/>
      <c r="B282" s="191"/>
      <c r="C282" s="190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</row>
    <row r="283" ht="12.75" customHeight="1">
      <c r="A283" s="190"/>
      <c r="B283" s="191"/>
      <c r="C283" s="190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</row>
    <row r="284" ht="12.75" customHeight="1">
      <c r="A284" s="190"/>
      <c r="B284" s="191"/>
      <c r="C284" s="190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</row>
    <row r="285" ht="12.75" customHeight="1">
      <c r="A285" s="190"/>
      <c r="B285" s="191"/>
      <c r="C285" s="190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</row>
    <row r="286" ht="12.75" customHeight="1">
      <c r="A286" s="190"/>
      <c r="B286" s="191"/>
      <c r="C286" s="190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</row>
    <row r="287" ht="12.75" customHeight="1">
      <c r="A287" s="190"/>
      <c r="B287" s="191"/>
      <c r="C287" s="190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</row>
    <row r="288" ht="12.75" customHeight="1">
      <c r="A288" s="190"/>
      <c r="B288" s="191"/>
      <c r="C288" s="190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</row>
    <row r="289" ht="12.75" customHeight="1">
      <c r="A289" s="190"/>
      <c r="B289" s="191"/>
      <c r="C289" s="190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</row>
    <row r="290" ht="12.75" customHeight="1">
      <c r="A290" s="190"/>
      <c r="B290" s="191"/>
      <c r="C290" s="190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</row>
    <row r="291" ht="12.75" customHeight="1">
      <c r="A291" s="190"/>
      <c r="B291" s="191"/>
      <c r="C291" s="190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</row>
    <row r="292" ht="12.75" customHeight="1">
      <c r="A292" s="190"/>
      <c r="B292" s="191"/>
      <c r="C292" s="190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</row>
    <row r="293" ht="12.75" customHeight="1">
      <c r="A293" s="190"/>
      <c r="B293" s="191"/>
      <c r="C293" s="190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</row>
    <row r="294" ht="12.75" customHeight="1">
      <c r="A294" s="190"/>
      <c r="B294" s="191"/>
      <c r="C294" s="190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</row>
    <row r="295" ht="12.75" customHeight="1">
      <c r="A295" s="190"/>
      <c r="B295" s="191"/>
      <c r="C295" s="190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</row>
    <row r="296" ht="12.75" customHeight="1">
      <c r="A296" s="190"/>
      <c r="B296" s="191"/>
      <c r="C296" s="190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</row>
    <row r="297" ht="12.75" customHeight="1">
      <c r="A297" s="190"/>
      <c r="B297" s="191"/>
      <c r="C297" s="190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</row>
    <row r="298" ht="12.75" customHeight="1">
      <c r="A298" s="190"/>
      <c r="B298" s="191"/>
      <c r="C298" s="190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</row>
    <row r="299" ht="12.75" customHeight="1">
      <c r="A299" s="190"/>
      <c r="B299" s="191"/>
      <c r="C299" s="190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</row>
    <row r="300" ht="12.75" customHeight="1">
      <c r="A300" s="190"/>
      <c r="B300" s="191"/>
      <c r="C300" s="190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</row>
    <row r="301" ht="12.75" customHeight="1">
      <c r="A301" s="190"/>
      <c r="B301" s="191"/>
      <c r="C301" s="190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</row>
    <row r="302" ht="12.75" customHeight="1">
      <c r="A302" s="190"/>
      <c r="B302" s="191"/>
      <c r="C302" s="190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</row>
    <row r="303" ht="12.75" customHeight="1">
      <c r="A303" s="190"/>
      <c r="B303" s="191"/>
      <c r="C303" s="190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</row>
    <row r="304" ht="12.75" customHeight="1">
      <c r="A304" s="190"/>
      <c r="B304" s="191"/>
      <c r="C304" s="190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</row>
    <row r="305" ht="12.75" customHeight="1">
      <c r="A305" s="190"/>
      <c r="B305" s="191"/>
      <c r="C305" s="190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</row>
    <row r="306" ht="12.75" customHeight="1">
      <c r="A306" s="190"/>
      <c r="B306" s="191"/>
      <c r="C306" s="190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</row>
    <row r="307" ht="12.75" customHeight="1">
      <c r="A307" s="190"/>
      <c r="B307" s="191"/>
      <c r="C307" s="190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</row>
    <row r="308" ht="12.75" customHeight="1">
      <c r="A308" s="190"/>
      <c r="B308" s="191"/>
      <c r="C308" s="190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</row>
    <row r="309" ht="12.75" customHeight="1">
      <c r="A309" s="190"/>
      <c r="B309" s="191"/>
      <c r="C309" s="190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</row>
    <row r="310" ht="12.75" customHeight="1">
      <c r="A310" s="190"/>
      <c r="B310" s="191"/>
      <c r="C310" s="190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</row>
    <row r="311" ht="12.75" customHeight="1">
      <c r="A311" s="190"/>
      <c r="B311" s="191"/>
      <c r="C311" s="190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</row>
    <row r="312" ht="12.75" customHeight="1">
      <c r="A312" s="190"/>
      <c r="B312" s="191"/>
      <c r="C312" s="190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</row>
    <row r="313" ht="12.75" customHeight="1">
      <c r="A313" s="190"/>
      <c r="B313" s="191"/>
      <c r="C313" s="190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</row>
    <row r="314" ht="12.75" customHeight="1">
      <c r="A314" s="190"/>
      <c r="B314" s="191"/>
      <c r="C314" s="190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</row>
    <row r="315" ht="12.75" customHeight="1">
      <c r="A315" s="190"/>
      <c r="B315" s="191"/>
      <c r="C315" s="190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</row>
    <row r="316" ht="12.75" customHeight="1">
      <c r="A316" s="190"/>
      <c r="B316" s="191"/>
      <c r="C316" s="190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</row>
    <row r="317" ht="12.75" customHeight="1">
      <c r="A317" s="190"/>
      <c r="B317" s="191"/>
      <c r="C317" s="190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</row>
    <row r="318" ht="12.75" customHeight="1">
      <c r="A318" s="190"/>
      <c r="B318" s="191"/>
      <c r="C318" s="190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</row>
    <row r="319" ht="12.75" customHeight="1">
      <c r="A319" s="190"/>
      <c r="B319" s="191"/>
      <c r="C319" s="190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</row>
    <row r="320" ht="12.75" customHeight="1">
      <c r="A320" s="190"/>
      <c r="B320" s="191"/>
      <c r="C320" s="190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</row>
    <row r="321" ht="12.75" customHeight="1">
      <c r="A321" s="190"/>
      <c r="B321" s="191"/>
      <c r="C321" s="190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</row>
    <row r="322" ht="12.75" customHeight="1">
      <c r="A322" s="190"/>
      <c r="B322" s="191"/>
      <c r="C322" s="190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</row>
    <row r="323" ht="12.75" customHeight="1">
      <c r="A323" s="190"/>
      <c r="B323" s="191"/>
      <c r="C323" s="190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</row>
    <row r="324" ht="12.75" customHeight="1">
      <c r="A324" s="190"/>
      <c r="B324" s="191"/>
      <c r="C324" s="190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</row>
    <row r="325" ht="12.75" customHeight="1">
      <c r="A325" s="190"/>
      <c r="B325" s="191"/>
      <c r="C325" s="190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</row>
    <row r="326" ht="12.75" customHeight="1">
      <c r="A326" s="190"/>
      <c r="B326" s="191"/>
      <c r="C326" s="190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</row>
    <row r="327" ht="12.75" customHeight="1">
      <c r="A327" s="190"/>
      <c r="B327" s="191"/>
      <c r="C327" s="190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</row>
    <row r="328" ht="12.75" customHeight="1">
      <c r="A328" s="190"/>
      <c r="B328" s="191"/>
      <c r="C328" s="190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</row>
    <row r="329" ht="12.75" customHeight="1">
      <c r="A329" s="190"/>
      <c r="B329" s="191"/>
      <c r="C329" s="190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</row>
    <row r="330" ht="12.75" customHeight="1">
      <c r="A330" s="190"/>
      <c r="B330" s="191"/>
      <c r="C330" s="190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</row>
    <row r="331" ht="12.75" customHeight="1">
      <c r="A331" s="190"/>
      <c r="B331" s="191"/>
      <c r="C331" s="190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</row>
    <row r="332" ht="12.75" customHeight="1">
      <c r="A332" s="190"/>
      <c r="B332" s="191"/>
      <c r="C332" s="190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</row>
    <row r="333" ht="12.75" customHeight="1">
      <c r="A333" s="190"/>
      <c r="B333" s="191"/>
      <c r="C333" s="190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</row>
    <row r="334" ht="12.75" customHeight="1">
      <c r="A334" s="190"/>
      <c r="B334" s="191"/>
      <c r="C334" s="190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</row>
    <row r="335" ht="12.75" customHeight="1">
      <c r="A335" s="190"/>
      <c r="B335" s="191"/>
      <c r="C335" s="190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</row>
    <row r="336" ht="12.75" customHeight="1">
      <c r="A336" s="190"/>
      <c r="B336" s="191"/>
      <c r="C336" s="190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</row>
    <row r="337" ht="12.75" customHeight="1">
      <c r="A337" s="190"/>
      <c r="B337" s="191"/>
      <c r="C337" s="190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</row>
    <row r="338" ht="12.75" customHeight="1">
      <c r="A338" s="190"/>
      <c r="B338" s="191"/>
      <c r="C338" s="190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</row>
    <row r="339" ht="12.75" customHeight="1">
      <c r="A339" s="190"/>
      <c r="B339" s="191"/>
      <c r="C339" s="190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</row>
    <row r="340" ht="12.75" customHeight="1">
      <c r="A340" s="190"/>
      <c r="B340" s="191"/>
      <c r="C340" s="190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</row>
    <row r="341" ht="12.75" customHeight="1">
      <c r="A341" s="190"/>
      <c r="B341" s="191"/>
      <c r="C341" s="190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</row>
    <row r="342" ht="12.75" customHeight="1">
      <c r="A342" s="190"/>
      <c r="B342" s="191"/>
      <c r="C342" s="190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</row>
    <row r="343" ht="12.75" customHeight="1">
      <c r="A343" s="190"/>
      <c r="B343" s="191"/>
      <c r="C343" s="190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</row>
    <row r="344" ht="12.75" customHeight="1">
      <c r="A344" s="190"/>
      <c r="B344" s="191"/>
      <c r="C344" s="190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</row>
    <row r="345" ht="12.75" customHeight="1">
      <c r="A345" s="190"/>
      <c r="B345" s="191"/>
      <c r="C345" s="190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</row>
    <row r="346" ht="12.75" customHeight="1">
      <c r="A346" s="190"/>
      <c r="B346" s="191"/>
      <c r="C346" s="190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</row>
    <row r="347" ht="12.75" customHeight="1">
      <c r="A347" s="190"/>
      <c r="B347" s="191"/>
      <c r="C347" s="190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</row>
    <row r="348" ht="12.75" customHeight="1">
      <c r="A348" s="190"/>
      <c r="B348" s="191"/>
      <c r="C348" s="190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</row>
    <row r="349" ht="12.75" customHeight="1">
      <c r="A349" s="190"/>
      <c r="B349" s="191"/>
      <c r="C349" s="190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</row>
    <row r="350" ht="12.75" customHeight="1">
      <c r="A350" s="190"/>
      <c r="B350" s="191"/>
      <c r="C350" s="190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</row>
    <row r="351" ht="12.75" customHeight="1">
      <c r="A351" s="190"/>
      <c r="B351" s="191"/>
      <c r="C351" s="190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</row>
    <row r="352" ht="12.75" customHeight="1">
      <c r="A352" s="190"/>
      <c r="B352" s="191"/>
      <c r="C352" s="190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</row>
    <row r="353" ht="12.75" customHeight="1">
      <c r="A353" s="190"/>
      <c r="B353" s="191"/>
      <c r="C353" s="190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</row>
    <row r="354" ht="12.75" customHeight="1">
      <c r="A354" s="190"/>
      <c r="B354" s="191"/>
      <c r="C354" s="190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</row>
    <row r="355" ht="12.75" customHeight="1">
      <c r="A355" s="190"/>
      <c r="B355" s="191"/>
      <c r="C355" s="190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</row>
    <row r="356" ht="12.75" customHeight="1">
      <c r="A356" s="190"/>
      <c r="B356" s="191"/>
      <c r="C356" s="190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</row>
    <row r="357" ht="12.75" customHeight="1">
      <c r="A357" s="190"/>
      <c r="B357" s="191"/>
      <c r="C357" s="190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</row>
    <row r="358" ht="12.75" customHeight="1">
      <c r="A358" s="190"/>
      <c r="B358" s="191"/>
      <c r="C358" s="190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</row>
    <row r="359" ht="12.75" customHeight="1">
      <c r="A359" s="190"/>
      <c r="B359" s="191"/>
      <c r="C359" s="190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</row>
    <row r="360" ht="12.75" customHeight="1">
      <c r="A360" s="190"/>
      <c r="B360" s="191"/>
      <c r="C360" s="190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</row>
    <row r="361" ht="12.75" customHeight="1">
      <c r="A361" s="190"/>
      <c r="B361" s="191"/>
      <c r="C361" s="190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</row>
    <row r="362" ht="12.75" customHeight="1">
      <c r="A362" s="190"/>
      <c r="B362" s="191"/>
      <c r="C362" s="190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</row>
    <row r="363" ht="12.75" customHeight="1">
      <c r="A363" s="190"/>
      <c r="B363" s="191"/>
      <c r="C363" s="190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</row>
    <row r="364" ht="12.75" customHeight="1">
      <c r="A364" s="190"/>
      <c r="B364" s="191"/>
      <c r="C364" s="190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</row>
    <row r="365" ht="12.75" customHeight="1">
      <c r="A365" s="190"/>
      <c r="B365" s="191"/>
      <c r="C365" s="190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</row>
    <row r="366" ht="12.75" customHeight="1">
      <c r="A366" s="190"/>
      <c r="B366" s="191"/>
      <c r="C366" s="190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</row>
    <row r="367" ht="12.75" customHeight="1">
      <c r="A367" s="190"/>
      <c r="B367" s="191"/>
      <c r="C367" s="190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</row>
    <row r="368" ht="12.75" customHeight="1">
      <c r="A368" s="190"/>
      <c r="B368" s="191"/>
      <c r="C368" s="190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</row>
    <row r="369" ht="12.75" customHeight="1">
      <c r="A369" s="190"/>
      <c r="B369" s="191"/>
      <c r="C369" s="190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</row>
    <row r="370" ht="12.75" customHeight="1">
      <c r="A370" s="190"/>
      <c r="B370" s="191"/>
      <c r="C370" s="190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</row>
    <row r="371" ht="12.75" customHeight="1">
      <c r="A371" s="190"/>
      <c r="B371" s="191"/>
      <c r="C371" s="190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</row>
    <row r="372" ht="12.75" customHeight="1">
      <c r="A372" s="190"/>
      <c r="B372" s="191"/>
      <c r="C372" s="190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</row>
    <row r="373" ht="12.75" customHeight="1">
      <c r="A373" s="190"/>
      <c r="B373" s="191"/>
      <c r="C373" s="190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</row>
    <row r="374" ht="12.75" customHeight="1">
      <c r="A374" s="190"/>
      <c r="B374" s="191"/>
      <c r="C374" s="190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</row>
    <row r="375" ht="12.75" customHeight="1">
      <c r="A375" s="190"/>
      <c r="B375" s="191"/>
      <c r="C375" s="190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</row>
    <row r="376" ht="12.75" customHeight="1">
      <c r="A376" s="190"/>
      <c r="B376" s="191"/>
      <c r="C376" s="190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</row>
    <row r="377" ht="12.75" customHeight="1">
      <c r="A377" s="190"/>
      <c r="B377" s="191"/>
      <c r="C377" s="190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</row>
    <row r="378" ht="12.75" customHeight="1">
      <c r="A378" s="190"/>
      <c r="B378" s="191"/>
      <c r="C378" s="190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</row>
    <row r="379" ht="12.75" customHeight="1">
      <c r="A379" s="190"/>
      <c r="B379" s="191"/>
      <c r="C379" s="190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</row>
    <row r="380" ht="12.75" customHeight="1">
      <c r="A380" s="190"/>
      <c r="B380" s="191"/>
      <c r="C380" s="190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</row>
    <row r="381" ht="12.75" customHeight="1">
      <c r="A381" s="190"/>
      <c r="B381" s="191"/>
      <c r="C381" s="190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</row>
    <row r="382" ht="12.75" customHeight="1">
      <c r="A382" s="190"/>
      <c r="B382" s="191"/>
      <c r="C382" s="190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</row>
    <row r="383" ht="12.75" customHeight="1">
      <c r="A383" s="190"/>
      <c r="B383" s="191"/>
      <c r="C383" s="190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</row>
    <row r="384" ht="12.75" customHeight="1">
      <c r="A384" s="190"/>
      <c r="B384" s="191"/>
      <c r="C384" s="190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</row>
    <row r="385" ht="12.75" customHeight="1">
      <c r="A385" s="190"/>
      <c r="B385" s="191"/>
      <c r="C385" s="190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</row>
    <row r="386" ht="12.75" customHeight="1">
      <c r="A386" s="190"/>
      <c r="B386" s="191"/>
      <c r="C386" s="190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</row>
    <row r="387" ht="12.75" customHeight="1">
      <c r="A387" s="190"/>
      <c r="B387" s="191"/>
      <c r="C387" s="190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</row>
    <row r="388" ht="12.75" customHeight="1">
      <c r="A388" s="190"/>
      <c r="B388" s="191"/>
      <c r="C388" s="190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</row>
    <row r="389" ht="12.75" customHeight="1">
      <c r="A389" s="190"/>
      <c r="B389" s="191"/>
      <c r="C389" s="190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</row>
    <row r="390" ht="12.75" customHeight="1">
      <c r="A390" s="190"/>
      <c r="B390" s="191"/>
      <c r="C390" s="190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</row>
    <row r="391" ht="12.75" customHeight="1">
      <c r="A391" s="190"/>
      <c r="B391" s="191"/>
      <c r="C391" s="190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</row>
    <row r="392" ht="12.75" customHeight="1">
      <c r="A392" s="190"/>
      <c r="B392" s="191"/>
      <c r="C392" s="190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</row>
    <row r="393" ht="12.75" customHeight="1">
      <c r="A393" s="190"/>
      <c r="B393" s="191"/>
      <c r="C393" s="190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</row>
    <row r="394" ht="12.75" customHeight="1">
      <c r="A394" s="190"/>
      <c r="B394" s="191"/>
      <c r="C394" s="190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</row>
    <row r="395" ht="12.75" customHeight="1">
      <c r="A395" s="190"/>
      <c r="B395" s="191"/>
      <c r="C395" s="190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</row>
    <row r="396" ht="12.75" customHeight="1">
      <c r="A396" s="190"/>
      <c r="B396" s="191"/>
      <c r="C396" s="190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</row>
    <row r="397" ht="12.75" customHeight="1">
      <c r="A397" s="190"/>
      <c r="B397" s="191"/>
      <c r="C397" s="190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</row>
    <row r="398" ht="12.75" customHeight="1">
      <c r="A398" s="190"/>
      <c r="B398" s="191"/>
      <c r="C398" s="190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</row>
    <row r="399" ht="12.75" customHeight="1">
      <c r="A399" s="190"/>
      <c r="B399" s="191"/>
      <c r="C399" s="190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</row>
    <row r="400" ht="12.75" customHeight="1">
      <c r="A400" s="190"/>
      <c r="B400" s="191"/>
      <c r="C400" s="190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</row>
    <row r="401" ht="12.75" customHeight="1">
      <c r="A401" s="190"/>
      <c r="B401" s="191"/>
      <c r="C401" s="190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</row>
    <row r="402" ht="12.75" customHeight="1">
      <c r="A402" s="190"/>
      <c r="B402" s="191"/>
      <c r="C402" s="190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</row>
    <row r="403" ht="12.75" customHeight="1">
      <c r="A403" s="190"/>
      <c r="B403" s="191"/>
      <c r="C403" s="190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</row>
    <row r="404" ht="12.75" customHeight="1">
      <c r="A404" s="190"/>
      <c r="B404" s="191"/>
      <c r="C404" s="190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</row>
    <row r="405" ht="12.75" customHeight="1">
      <c r="A405" s="190"/>
      <c r="B405" s="191"/>
      <c r="C405" s="190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</row>
    <row r="406" ht="12.75" customHeight="1">
      <c r="A406" s="190"/>
      <c r="B406" s="191"/>
      <c r="C406" s="190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</row>
    <row r="407" ht="12.75" customHeight="1">
      <c r="A407" s="190"/>
      <c r="B407" s="191"/>
      <c r="C407" s="190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</row>
    <row r="408" ht="12.75" customHeight="1">
      <c r="A408" s="190"/>
      <c r="B408" s="191"/>
      <c r="C408" s="190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</row>
    <row r="409" ht="12.75" customHeight="1">
      <c r="A409" s="190"/>
      <c r="B409" s="191"/>
      <c r="C409" s="190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</row>
    <row r="410" ht="12.75" customHeight="1">
      <c r="A410" s="190"/>
      <c r="B410" s="191"/>
      <c r="C410" s="190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</row>
    <row r="411" ht="12.75" customHeight="1">
      <c r="A411" s="190"/>
      <c r="B411" s="191"/>
      <c r="C411" s="190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</row>
    <row r="412" ht="12.75" customHeight="1">
      <c r="A412" s="190"/>
      <c r="B412" s="191"/>
      <c r="C412" s="190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</row>
    <row r="413" ht="12.75" customHeight="1">
      <c r="A413" s="190"/>
      <c r="B413" s="191"/>
      <c r="C413" s="190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</row>
    <row r="414" ht="12.75" customHeight="1">
      <c r="A414" s="190"/>
      <c r="B414" s="191"/>
      <c r="C414" s="190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</row>
    <row r="415" ht="12.75" customHeight="1">
      <c r="A415" s="190"/>
      <c r="B415" s="191"/>
      <c r="C415" s="190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</row>
    <row r="416" ht="12.75" customHeight="1">
      <c r="A416" s="190"/>
      <c r="B416" s="191"/>
      <c r="C416" s="190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</row>
    <row r="417" ht="12.75" customHeight="1">
      <c r="A417" s="190"/>
      <c r="B417" s="191"/>
      <c r="C417" s="190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</row>
    <row r="418" ht="12.75" customHeight="1">
      <c r="A418" s="190"/>
      <c r="B418" s="191"/>
      <c r="C418" s="190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</row>
    <row r="419" ht="12.75" customHeight="1">
      <c r="A419" s="190"/>
      <c r="B419" s="191"/>
      <c r="C419" s="190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</row>
    <row r="420" ht="12.75" customHeight="1">
      <c r="A420" s="190"/>
      <c r="B420" s="191"/>
      <c r="C420" s="190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</row>
    <row r="421" ht="12.75" customHeight="1">
      <c r="A421" s="190"/>
      <c r="B421" s="191"/>
      <c r="C421" s="190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</row>
    <row r="422" ht="12.75" customHeight="1">
      <c r="A422" s="190"/>
      <c r="B422" s="191"/>
      <c r="C422" s="190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</row>
    <row r="423" ht="12.75" customHeight="1">
      <c r="A423" s="190"/>
      <c r="B423" s="191"/>
      <c r="C423" s="190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</row>
    <row r="424" ht="12.75" customHeight="1">
      <c r="A424" s="190"/>
      <c r="B424" s="191"/>
      <c r="C424" s="190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</row>
    <row r="425" ht="12.75" customHeight="1">
      <c r="A425" s="190"/>
      <c r="B425" s="191"/>
      <c r="C425" s="190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</row>
    <row r="426" ht="12.75" customHeight="1">
      <c r="A426" s="190"/>
      <c r="B426" s="191"/>
      <c r="C426" s="190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</row>
    <row r="427" ht="12.75" customHeight="1">
      <c r="A427" s="190"/>
      <c r="B427" s="191"/>
      <c r="C427" s="190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</row>
    <row r="428" ht="12.75" customHeight="1">
      <c r="A428" s="190"/>
      <c r="B428" s="191"/>
      <c r="C428" s="190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</row>
    <row r="429" ht="12.75" customHeight="1">
      <c r="A429" s="190"/>
      <c r="B429" s="191"/>
      <c r="C429" s="190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</row>
    <row r="430" ht="12.75" customHeight="1">
      <c r="A430" s="190"/>
      <c r="B430" s="191"/>
      <c r="C430" s="190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</row>
    <row r="431" ht="12.75" customHeight="1">
      <c r="A431" s="190"/>
      <c r="B431" s="191"/>
      <c r="C431" s="190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</row>
    <row r="432" ht="12.75" customHeight="1">
      <c r="A432" s="190"/>
      <c r="B432" s="191"/>
      <c r="C432" s="190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</row>
    <row r="433" ht="12.75" customHeight="1">
      <c r="A433" s="190"/>
      <c r="B433" s="191"/>
      <c r="C433" s="190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</row>
    <row r="434" ht="12.75" customHeight="1">
      <c r="A434" s="190"/>
      <c r="B434" s="191"/>
      <c r="C434" s="190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</row>
    <row r="435" ht="12.75" customHeight="1">
      <c r="A435" s="190"/>
      <c r="B435" s="191"/>
      <c r="C435" s="190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</row>
    <row r="436" ht="12.75" customHeight="1">
      <c r="A436" s="190"/>
      <c r="B436" s="191"/>
      <c r="C436" s="190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</row>
    <row r="437" ht="12.75" customHeight="1">
      <c r="A437" s="190"/>
      <c r="B437" s="191"/>
      <c r="C437" s="190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</row>
    <row r="438" ht="12.75" customHeight="1">
      <c r="A438" s="190"/>
      <c r="B438" s="191"/>
      <c r="C438" s="190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</row>
    <row r="439" ht="12.75" customHeight="1">
      <c r="A439" s="190"/>
      <c r="B439" s="191"/>
      <c r="C439" s="190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</row>
    <row r="440" ht="12.75" customHeight="1">
      <c r="A440" s="190"/>
      <c r="B440" s="191"/>
      <c r="C440" s="190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</row>
    <row r="441" ht="12.75" customHeight="1">
      <c r="A441" s="190"/>
      <c r="B441" s="191"/>
      <c r="C441" s="190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</row>
    <row r="442" ht="12.75" customHeight="1">
      <c r="A442" s="190"/>
      <c r="B442" s="191"/>
      <c r="C442" s="190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</row>
    <row r="443" ht="12.75" customHeight="1">
      <c r="A443" s="190"/>
      <c r="B443" s="191"/>
      <c r="C443" s="190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</row>
    <row r="444" ht="12.75" customHeight="1">
      <c r="A444" s="190"/>
      <c r="B444" s="191"/>
      <c r="C444" s="190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</row>
    <row r="445" ht="12.75" customHeight="1">
      <c r="A445" s="190"/>
      <c r="B445" s="191"/>
      <c r="C445" s="190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</row>
    <row r="446" ht="12.75" customHeight="1">
      <c r="A446" s="190"/>
      <c r="B446" s="191"/>
      <c r="C446" s="190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</row>
    <row r="447" ht="12.75" customHeight="1">
      <c r="A447" s="190"/>
      <c r="B447" s="191"/>
      <c r="C447" s="190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</row>
    <row r="448" ht="12.75" customHeight="1">
      <c r="A448" s="190"/>
      <c r="B448" s="191"/>
      <c r="C448" s="190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</row>
    <row r="449" ht="12.75" customHeight="1">
      <c r="A449" s="190"/>
      <c r="B449" s="191"/>
      <c r="C449" s="190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</row>
    <row r="450" ht="12.75" customHeight="1">
      <c r="A450" s="190"/>
      <c r="B450" s="191"/>
      <c r="C450" s="190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</row>
    <row r="451" ht="12.75" customHeight="1">
      <c r="A451" s="190"/>
      <c r="B451" s="191"/>
      <c r="C451" s="190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</row>
    <row r="452" ht="12.75" customHeight="1">
      <c r="A452" s="190"/>
      <c r="B452" s="191"/>
      <c r="C452" s="190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</row>
    <row r="453" ht="12.75" customHeight="1">
      <c r="A453" s="190"/>
      <c r="B453" s="191"/>
      <c r="C453" s="190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</row>
    <row r="454" ht="12.75" customHeight="1">
      <c r="A454" s="190"/>
      <c r="B454" s="191"/>
      <c r="C454" s="190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</row>
    <row r="455" ht="12.75" customHeight="1">
      <c r="A455" s="190"/>
      <c r="B455" s="191"/>
      <c r="C455" s="190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</row>
    <row r="456" ht="12.75" customHeight="1">
      <c r="A456" s="190"/>
      <c r="B456" s="191"/>
      <c r="C456" s="190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</row>
    <row r="457" ht="12.75" customHeight="1">
      <c r="A457" s="190"/>
      <c r="B457" s="191"/>
      <c r="C457" s="190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</row>
    <row r="458" ht="12.75" customHeight="1">
      <c r="A458" s="190"/>
      <c r="B458" s="191"/>
      <c r="C458" s="190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</row>
    <row r="459" ht="12.75" customHeight="1">
      <c r="A459" s="190"/>
      <c r="B459" s="191"/>
      <c r="C459" s="190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</row>
    <row r="460" ht="12.75" customHeight="1">
      <c r="A460" s="190"/>
      <c r="B460" s="191"/>
      <c r="C460" s="190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</row>
    <row r="461" ht="12.75" customHeight="1">
      <c r="A461" s="190"/>
      <c r="B461" s="191"/>
      <c r="C461" s="190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</row>
    <row r="462" ht="12.75" customHeight="1">
      <c r="A462" s="190"/>
      <c r="B462" s="191"/>
      <c r="C462" s="190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</row>
    <row r="463" ht="12.75" customHeight="1">
      <c r="A463" s="190"/>
      <c r="B463" s="191"/>
      <c r="C463" s="190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</row>
    <row r="464" ht="12.75" customHeight="1">
      <c r="A464" s="190"/>
      <c r="B464" s="191"/>
      <c r="C464" s="190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</row>
    <row r="465" ht="12.75" customHeight="1">
      <c r="A465" s="190"/>
      <c r="B465" s="191"/>
      <c r="C465" s="190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</row>
    <row r="466" ht="12.75" customHeight="1">
      <c r="A466" s="190"/>
      <c r="B466" s="191"/>
      <c r="C466" s="190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</row>
    <row r="467" ht="12.75" customHeight="1">
      <c r="A467" s="190"/>
      <c r="B467" s="191"/>
      <c r="C467" s="190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</row>
    <row r="468" ht="12.75" customHeight="1">
      <c r="A468" s="190"/>
      <c r="B468" s="191"/>
      <c r="C468" s="190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</row>
    <row r="469" ht="12.75" customHeight="1">
      <c r="A469" s="190"/>
      <c r="B469" s="191"/>
      <c r="C469" s="190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</row>
    <row r="470" ht="12.75" customHeight="1">
      <c r="A470" s="190"/>
      <c r="B470" s="191"/>
      <c r="C470" s="190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</row>
    <row r="471" ht="12.75" customHeight="1">
      <c r="A471" s="190"/>
      <c r="B471" s="191"/>
      <c r="C471" s="190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</row>
    <row r="472" ht="12.75" customHeight="1">
      <c r="A472" s="190"/>
      <c r="B472" s="191"/>
      <c r="C472" s="190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</row>
    <row r="473" ht="12.75" customHeight="1">
      <c r="A473" s="190"/>
      <c r="B473" s="191"/>
      <c r="C473" s="190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</row>
    <row r="474" ht="12.75" customHeight="1">
      <c r="A474" s="190"/>
      <c r="B474" s="191"/>
      <c r="C474" s="190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</row>
    <row r="475" ht="12.75" customHeight="1">
      <c r="A475" s="190"/>
      <c r="B475" s="191"/>
      <c r="C475" s="190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</row>
    <row r="476" ht="12.75" customHeight="1">
      <c r="A476" s="190"/>
      <c r="B476" s="191"/>
      <c r="C476" s="190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</row>
    <row r="477" ht="12.75" customHeight="1">
      <c r="A477" s="190"/>
      <c r="B477" s="191"/>
      <c r="C477" s="190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</row>
    <row r="478" ht="12.75" customHeight="1">
      <c r="A478" s="190"/>
      <c r="B478" s="191"/>
      <c r="C478" s="190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</row>
    <row r="479" ht="12.75" customHeight="1">
      <c r="A479" s="190"/>
      <c r="B479" s="191"/>
      <c r="C479" s="190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</row>
    <row r="480" ht="12.75" customHeight="1">
      <c r="A480" s="190"/>
      <c r="B480" s="191"/>
      <c r="C480" s="190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</row>
    <row r="481" ht="12.75" customHeight="1">
      <c r="A481" s="190"/>
      <c r="B481" s="191"/>
      <c r="C481" s="190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</row>
    <row r="482" ht="12.75" customHeight="1">
      <c r="A482" s="190"/>
      <c r="B482" s="191"/>
      <c r="C482" s="190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</row>
    <row r="483" ht="12.75" customHeight="1">
      <c r="A483" s="190"/>
      <c r="B483" s="191"/>
      <c r="C483" s="190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</row>
    <row r="484" ht="12.75" customHeight="1">
      <c r="A484" s="190"/>
      <c r="B484" s="191"/>
      <c r="C484" s="190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</row>
    <row r="485" ht="12.75" customHeight="1">
      <c r="A485" s="190"/>
      <c r="B485" s="191"/>
      <c r="C485" s="190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</row>
    <row r="486" ht="12.75" customHeight="1">
      <c r="A486" s="190"/>
      <c r="B486" s="191"/>
      <c r="C486" s="190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</row>
    <row r="487" ht="12.75" customHeight="1">
      <c r="A487" s="190"/>
      <c r="B487" s="191"/>
      <c r="C487" s="190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</row>
    <row r="488" ht="12.75" customHeight="1">
      <c r="A488" s="190"/>
      <c r="B488" s="191"/>
      <c r="C488" s="190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</row>
    <row r="489" ht="12.75" customHeight="1">
      <c r="A489" s="190"/>
      <c r="B489" s="191"/>
      <c r="C489" s="190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</row>
    <row r="490" ht="12.75" customHeight="1">
      <c r="A490" s="190"/>
      <c r="B490" s="191"/>
      <c r="C490" s="190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</row>
    <row r="491" ht="12.75" customHeight="1">
      <c r="A491" s="190"/>
      <c r="B491" s="191"/>
      <c r="C491" s="190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</row>
    <row r="492" ht="12.75" customHeight="1">
      <c r="A492" s="190"/>
      <c r="B492" s="191"/>
      <c r="C492" s="190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</row>
    <row r="493" ht="12.75" customHeight="1">
      <c r="A493" s="190"/>
      <c r="B493" s="191"/>
      <c r="C493" s="190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</row>
    <row r="494" ht="12.75" customHeight="1">
      <c r="A494" s="190"/>
      <c r="B494" s="191"/>
      <c r="C494" s="190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</row>
    <row r="495" ht="12.75" customHeight="1">
      <c r="A495" s="190"/>
      <c r="B495" s="191"/>
      <c r="C495" s="190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</row>
    <row r="496" ht="12.75" customHeight="1">
      <c r="A496" s="190"/>
      <c r="B496" s="191"/>
      <c r="C496" s="190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</row>
    <row r="497" ht="12.75" customHeight="1">
      <c r="A497" s="190"/>
      <c r="B497" s="191"/>
      <c r="C497" s="190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</row>
    <row r="498" ht="12.75" customHeight="1">
      <c r="A498" s="190"/>
      <c r="B498" s="191"/>
      <c r="C498" s="190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</row>
    <row r="499" ht="12.75" customHeight="1">
      <c r="A499" s="190"/>
      <c r="B499" s="191"/>
      <c r="C499" s="190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</row>
    <row r="500" ht="12.75" customHeight="1">
      <c r="A500" s="190"/>
      <c r="B500" s="191"/>
      <c r="C500" s="190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</row>
    <row r="501" ht="12.75" customHeight="1">
      <c r="A501" s="190"/>
      <c r="B501" s="191"/>
      <c r="C501" s="190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</row>
    <row r="502" ht="12.75" customHeight="1">
      <c r="A502" s="190"/>
      <c r="B502" s="191"/>
      <c r="C502" s="190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</row>
    <row r="503" ht="12.75" customHeight="1">
      <c r="A503" s="190"/>
      <c r="B503" s="191"/>
      <c r="C503" s="190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</row>
    <row r="504" ht="12.75" customHeight="1">
      <c r="A504" s="190"/>
      <c r="B504" s="191"/>
      <c r="C504" s="190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</row>
    <row r="505" ht="12.75" customHeight="1">
      <c r="A505" s="190"/>
      <c r="B505" s="191"/>
      <c r="C505" s="190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</row>
    <row r="506" ht="12.75" customHeight="1">
      <c r="A506" s="190"/>
      <c r="B506" s="191"/>
      <c r="C506" s="190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</row>
    <row r="507" ht="12.75" customHeight="1">
      <c r="A507" s="190"/>
      <c r="B507" s="191"/>
      <c r="C507" s="190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</row>
    <row r="508" ht="12.75" customHeight="1">
      <c r="A508" s="190"/>
      <c r="B508" s="191"/>
      <c r="C508" s="190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</row>
    <row r="509" ht="12.75" customHeight="1">
      <c r="A509" s="190"/>
      <c r="B509" s="191"/>
      <c r="C509" s="190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</row>
    <row r="510" ht="12.75" customHeight="1">
      <c r="A510" s="190"/>
      <c r="B510" s="191"/>
      <c r="C510" s="190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</row>
    <row r="511" ht="12.75" customHeight="1">
      <c r="A511" s="190"/>
      <c r="B511" s="191"/>
      <c r="C511" s="190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</row>
    <row r="512" ht="12.75" customHeight="1">
      <c r="A512" s="190"/>
      <c r="B512" s="191"/>
      <c r="C512" s="190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</row>
    <row r="513" ht="12.75" customHeight="1">
      <c r="A513" s="190"/>
      <c r="B513" s="191"/>
      <c r="C513" s="190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</row>
    <row r="514" ht="12.75" customHeight="1">
      <c r="A514" s="190"/>
      <c r="B514" s="191"/>
      <c r="C514" s="190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</row>
    <row r="515" ht="12.75" customHeight="1">
      <c r="A515" s="190"/>
      <c r="B515" s="191"/>
      <c r="C515" s="190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</row>
    <row r="516" ht="12.75" customHeight="1">
      <c r="A516" s="190"/>
      <c r="B516" s="191"/>
      <c r="C516" s="190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</row>
    <row r="517" ht="12.75" customHeight="1">
      <c r="A517" s="190"/>
      <c r="B517" s="191"/>
      <c r="C517" s="190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</row>
    <row r="518" ht="12.75" customHeight="1">
      <c r="A518" s="190"/>
      <c r="B518" s="191"/>
      <c r="C518" s="190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</row>
    <row r="519" ht="12.75" customHeight="1">
      <c r="A519" s="190"/>
      <c r="B519" s="191"/>
      <c r="C519" s="190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</row>
    <row r="520" ht="12.75" customHeight="1">
      <c r="A520" s="190"/>
      <c r="B520" s="191"/>
      <c r="C520" s="190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</row>
    <row r="521" ht="12.75" customHeight="1">
      <c r="A521" s="190"/>
      <c r="B521" s="191"/>
      <c r="C521" s="190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</row>
    <row r="522" ht="12.75" customHeight="1">
      <c r="A522" s="190"/>
      <c r="B522" s="191"/>
      <c r="C522" s="190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</row>
    <row r="523" ht="12.75" customHeight="1">
      <c r="A523" s="190"/>
      <c r="B523" s="191"/>
      <c r="C523" s="190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</row>
    <row r="524" ht="12.75" customHeight="1">
      <c r="A524" s="190"/>
      <c r="B524" s="191"/>
      <c r="C524" s="190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</row>
    <row r="525" ht="12.75" customHeight="1">
      <c r="A525" s="190"/>
      <c r="B525" s="191"/>
      <c r="C525" s="190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</row>
    <row r="526" ht="12.75" customHeight="1">
      <c r="A526" s="190"/>
      <c r="B526" s="191"/>
      <c r="C526" s="190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</row>
    <row r="527" ht="12.75" customHeight="1">
      <c r="A527" s="190"/>
      <c r="B527" s="191"/>
      <c r="C527" s="190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</row>
    <row r="528" ht="12.75" customHeight="1">
      <c r="A528" s="190"/>
      <c r="B528" s="191"/>
      <c r="C528" s="190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</row>
    <row r="529" ht="12.75" customHeight="1">
      <c r="A529" s="190"/>
      <c r="B529" s="191"/>
      <c r="C529" s="190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</row>
    <row r="530" ht="12.75" customHeight="1">
      <c r="A530" s="190"/>
      <c r="B530" s="191"/>
      <c r="C530" s="190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</row>
    <row r="531" ht="12.75" customHeight="1">
      <c r="A531" s="190"/>
      <c r="B531" s="191"/>
      <c r="C531" s="190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</row>
    <row r="532" ht="12.75" customHeight="1">
      <c r="A532" s="190"/>
      <c r="B532" s="191"/>
      <c r="C532" s="190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</row>
    <row r="533" ht="12.75" customHeight="1">
      <c r="A533" s="190"/>
      <c r="B533" s="191"/>
      <c r="C533" s="190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</row>
    <row r="534" ht="12.75" customHeight="1">
      <c r="A534" s="190"/>
      <c r="B534" s="191"/>
      <c r="C534" s="190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</row>
    <row r="535" ht="12.75" customHeight="1">
      <c r="A535" s="190"/>
      <c r="B535" s="191"/>
      <c r="C535" s="190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</row>
    <row r="536" ht="12.75" customHeight="1">
      <c r="A536" s="190"/>
      <c r="B536" s="191"/>
      <c r="C536" s="190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</row>
    <row r="537" ht="12.75" customHeight="1">
      <c r="A537" s="190"/>
      <c r="B537" s="191"/>
      <c r="C537" s="190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</row>
    <row r="538" ht="12.75" customHeight="1">
      <c r="A538" s="190"/>
      <c r="B538" s="191"/>
      <c r="C538" s="190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</row>
    <row r="539" ht="12.75" customHeight="1">
      <c r="A539" s="190"/>
      <c r="B539" s="191"/>
      <c r="C539" s="190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</row>
    <row r="540" ht="12.75" customHeight="1">
      <c r="A540" s="190"/>
      <c r="B540" s="191"/>
      <c r="C540" s="190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</row>
    <row r="541" ht="12.75" customHeight="1">
      <c r="A541" s="190"/>
      <c r="B541" s="191"/>
      <c r="C541" s="190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</row>
    <row r="542" ht="12.75" customHeight="1">
      <c r="A542" s="190"/>
      <c r="B542" s="191"/>
      <c r="C542" s="190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</row>
    <row r="543" ht="12.75" customHeight="1">
      <c r="A543" s="190"/>
      <c r="B543" s="191"/>
      <c r="C543" s="190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</row>
    <row r="544" ht="12.75" customHeight="1">
      <c r="A544" s="190"/>
      <c r="B544" s="191"/>
      <c r="C544" s="190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</row>
    <row r="545" ht="12.75" customHeight="1">
      <c r="A545" s="190"/>
      <c r="B545" s="191"/>
      <c r="C545" s="190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</row>
    <row r="546" ht="12.75" customHeight="1">
      <c r="A546" s="190"/>
      <c r="B546" s="191"/>
      <c r="C546" s="190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</row>
    <row r="547" ht="12.75" customHeight="1">
      <c r="A547" s="190"/>
      <c r="B547" s="191"/>
      <c r="C547" s="190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</row>
    <row r="548" ht="12.75" customHeight="1">
      <c r="A548" s="190"/>
      <c r="B548" s="191"/>
      <c r="C548" s="190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</row>
    <row r="549" ht="12.75" customHeight="1">
      <c r="A549" s="190"/>
      <c r="B549" s="191"/>
      <c r="C549" s="190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</row>
    <row r="550" ht="12.75" customHeight="1">
      <c r="A550" s="190"/>
      <c r="B550" s="191"/>
      <c r="C550" s="190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</row>
    <row r="551" ht="12.75" customHeight="1">
      <c r="A551" s="190"/>
      <c r="B551" s="191"/>
      <c r="C551" s="190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</row>
    <row r="552" ht="12.75" customHeight="1">
      <c r="A552" s="190"/>
      <c r="B552" s="191"/>
      <c r="C552" s="190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</row>
    <row r="553" ht="12.75" customHeight="1">
      <c r="A553" s="190"/>
      <c r="B553" s="191"/>
      <c r="C553" s="190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</row>
    <row r="554" ht="12.75" customHeight="1">
      <c r="A554" s="190"/>
      <c r="B554" s="191"/>
      <c r="C554" s="190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</row>
    <row r="555" ht="12.75" customHeight="1">
      <c r="A555" s="190"/>
      <c r="B555" s="191"/>
      <c r="C555" s="190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</row>
    <row r="556" ht="12.75" customHeight="1">
      <c r="A556" s="190"/>
      <c r="B556" s="191"/>
      <c r="C556" s="190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</row>
    <row r="557" ht="12.75" customHeight="1">
      <c r="A557" s="190"/>
      <c r="B557" s="191"/>
      <c r="C557" s="190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</row>
    <row r="558" ht="12.75" customHeight="1">
      <c r="A558" s="190"/>
      <c r="B558" s="191"/>
      <c r="C558" s="190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</row>
    <row r="559" ht="12.75" customHeight="1">
      <c r="A559" s="190"/>
      <c r="B559" s="191"/>
      <c r="C559" s="190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</row>
    <row r="560" ht="12.75" customHeight="1">
      <c r="A560" s="190"/>
      <c r="B560" s="191"/>
      <c r="C560" s="190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</row>
    <row r="561" ht="12.75" customHeight="1">
      <c r="A561" s="190"/>
      <c r="B561" s="191"/>
      <c r="C561" s="190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</row>
    <row r="562" ht="12.75" customHeight="1">
      <c r="A562" s="190"/>
      <c r="B562" s="191"/>
      <c r="C562" s="190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</row>
    <row r="563" ht="12.75" customHeight="1">
      <c r="A563" s="190"/>
      <c r="B563" s="191"/>
      <c r="C563" s="190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</row>
    <row r="564" ht="12.75" customHeight="1">
      <c r="A564" s="190"/>
      <c r="B564" s="191"/>
      <c r="C564" s="190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</row>
    <row r="565" ht="12.75" customHeight="1">
      <c r="A565" s="190"/>
      <c r="B565" s="191"/>
      <c r="C565" s="190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</row>
    <row r="566" ht="12.75" customHeight="1">
      <c r="A566" s="190"/>
      <c r="B566" s="191"/>
      <c r="C566" s="190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</row>
    <row r="567" ht="12.75" customHeight="1">
      <c r="A567" s="190"/>
      <c r="B567" s="191"/>
      <c r="C567" s="190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</row>
    <row r="568" ht="12.75" customHeight="1">
      <c r="A568" s="190"/>
      <c r="B568" s="191"/>
      <c r="C568" s="190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</row>
    <row r="569" ht="12.75" customHeight="1">
      <c r="A569" s="190"/>
      <c r="B569" s="191"/>
      <c r="C569" s="190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</row>
    <row r="570" ht="12.75" customHeight="1">
      <c r="A570" s="190"/>
      <c r="B570" s="191"/>
      <c r="C570" s="190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</row>
    <row r="571" ht="12.75" customHeight="1">
      <c r="A571" s="190"/>
      <c r="B571" s="191"/>
      <c r="C571" s="190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</row>
    <row r="572" ht="12.75" customHeight="1">
      <c r="A572" s="190"/>
      <c r="B572" s="191"/>
      <c r="C572" s="190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</row>
    <row r="573" ht="12.75" customHeight="1">
      <c r="A573" s="190"/>
      <c r="B573" s="191"/>
      <c r="C573" s="190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</row>
    <row r="574" ht="12.75" customHeight="1">
      <c r="A574" s="190"/>
      <c r="B574" s="191"/>
      <c r="C574" s="190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</row>
    <row r="575" ht="12.75" customHeight="1">
      <c r="A575" s="190"/>
      <c r="B575" s="191"/>
      <c r="C575" s="190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</row>
    <row r="576" ht="12.75" customHeight="1">
      <c r="A576" s="190"/>
      <c r="B576" s="191"/>
      <c r="C576" s="190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</row>
    <row r="577" ht="12.75" customHeight="1">
      <c r="A577" s="190"/>
      <c r="B577" s="191"/>
      <c r="C577" s="190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</row>
    <row r="578" ht="12.75" customHeight="1">
      <c r="A578" s="190"/>
      <c r="B578" s="191"/>
      <c r="C578" s="190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</row>
    <row r="579" ht="12.75" customHeight="1">
      <c r="A579" s="190"/>
      <c r="B579" s="191"/>
      <c r="C579" s="190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</row>
    <row r="580" ht="12.75" customHeight="1">
      <c r="A580" s="190"/>
      <c r="B580" s="191"/>
      <c r="C580" s="190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</row>
    <row r="581" ht="12.75" customHeight="1">
      <c r="A581" s="190"/>
      <c r="B581" s="191"/>
      <c r="C581" s="190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</row>
    <row r="582" ht="12.75" customHeight="1">
      <c r="A582" s="190"/>
      <c r="B582" s="191"/>
      <c r="C582" s="190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</row>
    <row r="583" ht="12.75" customHeight="1">
      <c r="A583" s="190"/>
      <c r="B583" s="191"/>
      <c r="C583" s="190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</row>
    <row r="584" ht="12.75" customHeight="1">
      <c r="A584" s="190"/>
      <c r="B584" s="191"/>
      <c r="C584" s="190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</row>
    <row r="585" ht="12.75" customHeight="1">
      <c r="A585" s="190"/>
      <c r="B585" s="191"/>
      <c r="C585" s="190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</row>
    <row r="586" ht="12.75" customHeight="1">
      <c r="A586" s="190"/>
      <c r="B586" s="191"/>
      <c r="C586" s="190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</row>
    <row r="587" ht="12.75" customHeight="1">
      <c r="A587" s="190"/>
      <c r="B587" s="191"/>
      <c r="C587" s="190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</row>
    <row r="588" ht="12.75" customHeight="1">
      <c r="A588" s="190"/>
      <c r="B588" s="191"/>
      <c r="C588" s="190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</row>
    <row r="589" ht="12.75" customHeight="1">
      <c r="A589" s="190"/>
      <c r="B589" s="191"/>
      <c r="C589" s="190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</row>
    <row r="590" ht="12.75" customHeight="1">
      <c r="A590" s="190"/>
      <c r="B590" s="191"/>
      <c r="C590" s="190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</row>
    <row r="591" ht="12.75" customHeight="1">
      <c r="A591" s="190"/>
      <c r="B591" s="191"/>
      <c r="C591" s="190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</row>
    <row r="592" ht="12.75" customHeight="1">
      <c r="A592" s="190"/>
      <c r="B592" s="191"/>
      <c r="C592" s="190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</row>
    <row r="593" ht="12.75" customHeight="1">
      <c r="A593" s="190"/>
      <c r="B593" s="191"/>
      <c r="C593" s="190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</row>
    <row r="594" ht="12.75" customHeight="1">
      <c r="A594" s="190"/>
      <c r="B594" s="191"/>
      <c r="C594" s="190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</row>
    <row r="595" ht="12.75" customHeight="1">
      <c r="A595" s="190"/>
      <c r="B595" s="191"/>
      <c r="C595" s="190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</row>
    <row r="596" ht="12.75" customHeight="1">
      <c r="A596" s="190"/>
      <c r="B596" s="191"/>
      <c r="C596" s="190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</row>
    <row r="597" ht="12.75" customHeight="1">
      <c r="A597" s="190"/>
      <c r="B597" s="191"/>
      <c r="C597" s="190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</row>
    <row r="598" ht="12.75" customHeight="1">
      <c r="A598" s="190"/>
      <c r="B598" s="191"/>
      <c r="C598" s="190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</row>
    <row r="599" ht="12.75" customHeight="1">
      <c r="A599" s="190"/>
      <c r="B599" s="191"/>
      <c r="C599" s="190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</row>
    <row r="600" ht="12.75" customHeight="1">
      <c r="A600" s="190"/>
      <c r="B600" s="191"/>
      <c r="C600" s="190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</row>
    <row r="601" ht="12.75" customHeight="1">
      <c r="A601" s="190"/>
      <c r="B601" s="191"/>
      <c r="C601" s="190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</row>
    <row r="602" ht="12.75" customHeight="1">
      <c r="A602" s="190"/>
      <c r="B602" s="191"/>
      <c r="C602" s="190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</row>
    <row r="603" ht="12.75" customHeight="1">
      <c r="A603" s="190"/>
      <c r="B603" s="191"/>
      <c r="C603" s="190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</row>
    <row r="604" ht="12.75" customHeight="1">
      <c r="A604" s="190"/>
      <c r="B604" s="191"/>
      <c r="C604" s="190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</row>
    <row r="605" ht="12.75" customHeight="1">
      <c r="A605" s="190"/>
      <c r="B605" s="191"/>
      <c r="C605" s="190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</row>
    <row r="606" ht="12.75" customHeight="1">
      <c r="A606" s="190"/>
      <c r="B606" s="191"/>
      <c r="C606" s="190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</row>
    <row r="607" ht="12.75" customHeight="1">
      <c r="A607" s="190"/>
      <c r="B607" s="191"/>
      <c r="C607" s="190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</row>
    <row r="608" ht="12.75" customHeight="1">
      <c r="A608" s="190"/>
      <c r="B608" s="191"/>
      <c r="C608" s="190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</row>
    <row r="609" ht="12.75" customHeight="1">
      <c r="A609" s="190"/>
      <c r="B609" s="191"/>
      <c r="C609" s="190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</row>
    <row r="610" ht="12.75" customHeight="1">
      <c r="A610" s="190"/>
      <c r="B610" s="191"/>
      <c r="C610" s="190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</row>
    <row r="611" ht="12.75" customHeight="1">
      <c r="A611" s="190"/>
      <c r="B611" s="191"/>
      <c r="C611" s="190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</row>
    <row r="612" ht="12.75" customHeight="1">
      <c r="A612" s="190"/>
      <c r="B612" s="191"/>
      <c r="C612" s="190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</row>
    <row r="613" ht="12.75" customHeight="1">
      <c r="A613" s="190"/>
      <c r="B613" s="191"/>
      <c r="C613" s="190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</row>
    <row r="614" ht="12.75" customHeight="1">
      <c r="A614" s="190"/>
      <c r="B614" s="191"/>
      <c r="C614" s="190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</row>
    <row r="615" ht="12.75" customHeight="1">
      <c r="A615" s="190"/>
      <c r="B615" s="191"/>
      <c r="C615" s="190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</row>
    <row r="616" ht="12.75" customHeight="1">
      <c r="A616" s="190"/>
      <c r="B616" s="191"/>
      <c r="C616" s="190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</row>
    <row r="617" ht="12.75" customHeight="1">
      <c r="A617" s="190"/>
      <c r="B617" s="191"/>
      <c r="C617" s="190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</row>
    <row r="618" ht="12.75" customHeight="1">
      <c r="A618" s="190"/>
      <c r="B618" s="191"/>
      <c r="C618" s="190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</row>
    <row r="619" ht="12.75" customHeight="1">
      <c r="A619" s="190"/>
      <c r="B619" s="191"/>
      <c r="C619" s="190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</row>
    <row r="620" ht="12.75" customHeight="1">
      <c r="A620" s="190"/>
      <c r="B620" s="191"/>
      <c r="C620" s="190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</row>
    <row r="621" ht="12.75" customHeight="1">
      <c r="A621" s="190"/>
      <c r="B621" s="191"/>
      <c r="C621" s="190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</row>
    <row r="622" ht="12.75" customHeight="1">
      <c r="A622" s="190"/>
      <c r="B622" s="191"/>
      <c r="C622" s="190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</row>
    <row r="623" ht="12.75" customHeight="1">
      <c r="A623" s="190"/>
      <c r="B623" s="191"/>
      <c r="C623" s="190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</row>
    <row r="624" ht="12.75" customHeight="1">
      <c r="A624" s="190"/>
      <c r="B624" s="191"/>
      <c r="C624" s="190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</row>
    <row r="625" ht="12.75" customHeight="1">
      <c r="A625" s="190"/>
      <c r="B625" s="191"/>
      <c r="C625" s="190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</row>
    <row r="626" ht="12.75" customHeight="1">
      <c r="A626" s="190"/>
      <c r="B626" s="191"/>
      <c r="C626" s="190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</row>
    <row r="627" ht="12.75" customHeight="1">
      <c r="A627" s="190"/>
      <c r="B627" s="191"/>
      <c r="C627" s="190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</row>
    <row r="628" ht="12.75" customHeight="1">
      <c r="A628" s="190"/>
      <c r="B628" s="191"/>
      <c r="C628" s="190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</row>
    <row r="629" ht="12.75" customHeight="1">
      <c r="A629" s="190"/>
      <c r="B629" s="191"/>
      <c r="C629" s="190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</row>
    <row r="630" ht="12.75" customHeight="1">
      <c r="A630" s="190"/>
      <c r="B630" s="191"/>
      <c r="C630" s="190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</row>
    <row r="631" ht="12.75" customHeight="1">
      <c r="A631" s="190"/>
      <c r="B631" s="191"/>
      <c r="C631" s="190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</row>
    <row r="632" ht="12.75" customHeight="1">
      <c r="A632" s="190"/>
      <c r="B632" s="191"/>
      <c r="C632" s="190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</row>
    <row r="633" ht="12.75" customHeight="1">
      <c r="A633" s="190"/>
      <c r="B633" s="191"/>
      <c r="C633" s="190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</row>
    <row r="634" ht="12.75" customHeight="1">
      <c r="A634" s="190"/>
      <c r="B634" s="191"/>
      <c r="C634" s="190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</row>
    <row r="635" ht="12.75" customHeight="1">
      <c r="A635" s="190"/>
      <c r="B635" s="191"/>
      <c r="C635" s="190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</row>
    <row r="636" ht="12.75" customHeight="1">
      <c r="A636" s="190"/>
      <c r="B636" s="191"/>
      <c r="C636" s="190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</row>
    <row r="637" ht="12.75" customHeight="1">
      <c r="A637" s="190"/>
      <c r="B637" s="191"/>
      <c r="C637" s="190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</row>
    <row r="638" ht="12.75" customHeight="1">
      <c r="A638" s="190"/>
      <c r="B638" s="191"/>
      <c r="C638" s="190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</row>
    <row r="639" ht="12.75" customHeight="1">
      <c r="A639" s="190"/>
      <c r="B639" s="191"/>
      <c r="C639" s="190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</row>
    <row r="640" ht="12.75" customHeight="1">
      <c r="A640" s="190"/>
      <c r="B640" s="191"/>
      <c r="C640" s="190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</row>
    <row r="641" ht="12.75" customHeight="1">
      <c r="A641" s="190"/>
      <c r="B641" s="191"/>
      <c r="C641" s="190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</row>
    <row r="642" ht="12.75" customHeight="1">
      <c r="A642" s="190"/>
      <c r="B642" s="191"/>
      <c r="C642" s="190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</row>
    <row r="643" ht="12.75" customHeight="1">
      <c r="A643" s="190"/>
      <c r="B643" s="191"/>
      <c r="C643" s="190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</row>
    <row r="644" ht="12.75" customHeight="1">
      <c r="A644" s="190"/>
      <c r="B644" s="191"/>
      <c r="C644" s="190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</row>
    <row r="645" ht="12.75" customHeight="1">
      <c r="A645" s="190"/>
      <c r="B645" s="191"/>
      <c r="C645" s="190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</row>
    <row r="646" ht="12.75" customHeight="1">
      <c r="A646" s="190"/>
      <c r="B646" s="191"/>
      <c r="C646" s="190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</row>
    <row r="647" ht="12.75" customHeight="1">
      <c r="A647" s="190"/>
      <c r="B647" s="191"/>
      <c r="C647" s="190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</row>
    <row r="648" ht="12.75" customHeight="1">
      <c r="A648" s="190"/>
      <c r="B648" s="191"/>
      <c r="C648" s="190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</row>
    <row r="649" ht="12.75" customHeight="1">
      <c r="A649" s="190"/>
      <c r="B649" s="191"/>
      <c r="C649" s="190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</row>
    <row r="650" ht="12.75" customHeight="1">
      <c r="A650" s="190"/>
      <c r="B650" s="191"/>
      <c r="C650" s="190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</row>
    <row r="651" ht="12.75" customHeight="1">
      <c r="A651" s="190"/>
      <c r="B651" s="191"/>
      <c r="C651" s="190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</row>
    <row r="652" ht="12.75" customHeight="1">
      <c r="A652" s="190"/>
      <c r="B652" s="191"/>
      <c r="C652" s="190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</row>
    <row r="653" ht="12.75" customHeight="1">
      <c r="A653" s="190"/>
      <c r="B653" s="191"/>
      <c r="C653" s="190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</row>
    <row r="654" ht="12.75" customHeight="1">
      <c r="A654" s="190"/>
      <c r="B654" s="191"/>
      <c r="C654" s="190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</row>
    <row r="655" ht="12.75" customHeight="1">
      <c r="A655" s="190"/>
      <c r="B655" s="191"/>
      <c r="C655" s="190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</row>
    <row r="656" ht="12.75" customHeight="1">
      <c r="A656" s="190"/>
      <c r="B656" s="191"/>
      <c r="C656" s="190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</row>
    <row r="657" ht="12.75" customHeight="1">
      <c r="A657" s="190"/>
      <c r="B657" s="191"/>
      <c r="C657" s="190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</row>
    <row r="658" ht="12.75" customHeight="1">
      <c r="A658" s="190"/>
      <c r="B658" s="191"/>
      <c r="C658" s="190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</row>
    <row r="659" ht="12.75" customHeight="1">
      <c r="A659" s="190"/>
      <c r="B659" s="191"/>
      <c r="C659" s="190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</row>
    <row r="660" ht="12.75" customHeight="1">
      <c r="A660" s="190"/>
      <c r="B660" s="191"/>
      <c r="C660" s="190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</row>
    <row r="661" ht="12.75" customHeight="1">
      <c r="A661" s="190"/>
      <c r="B661" s="191"/>
      <c r="C661" s="190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</row>
    <row r="662" ht="12.75" customHeight="1">
      <c r="A662" s="190"/>
      <c r="B662" s="191"/>
      <c r="C662" s="190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</row>
    <row r="663" ht="12.75" customHeight="1">
      <c r="A663" s="190"/>
      <c r="B663" s="191"/>
      <c r="C663" s="190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</row>
    <row r="664" ht="12.75" customHeight="1">
      <c r="A664" s="190"/>
      <c r="B664" s="191"/>
      <c r="C664" s="190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</row>
    <row r="665" ht="12.75" customHeight="1">
      <c r="A665" s="190"/>
      <c r="B665" s="191"/>
      <c r="C665" s="190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</row>
    <row r="666" ht="12.75" customHeight="1">
      <c r="A666" s="190"/>
      <c r="B666" s="191"/>
      <c r="C666" s="190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</row>
    <row r="667" ht="12.75" customHeight="1">
      <c r="A667" s="190"/>
      <c r="B667" s="191"/>
      <c r="C667" s="190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</row>
    <row r="668" ht="12.75" customHeight="1">
      <c r="A668" s="190"/>
      <c r="B668" s="191"/>
      <c r="C668" s="190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</row>
    <row r="669" ht="12.75" customHeight="1">
      <c r="A669" s="190"/>
      <c r="B669" s="191"/>
      <c r="C669" s="190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</row>
    <row r="670" ht="12.75" customHeight="1">
      <c r="A670" s="190"/>
      <c r="B670" s="191"/>
      <c r="C670" s="190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</row>
    <row r="671" ht="12.75" customHeight="1">
      <c r="A671" s="190"/>
      <c r="B671" s="191"/>
      <c r="C671" s="190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</row>
    <row r="672" ht="12.75" customHeight="1">
      <c r="A672" s="190"/>
      <c r="B672" s="191"/>
      <c r="C672" s="190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</row>
    <row r="673" ht="12.75" customHeight="1">
      <c r="A673" s="190"/>
      <c r="B673" s="191"/>
      <c r="C673" s="190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</row>
    <row r="674" ht="12.75" customHeight="1">
      <c r="A674" s="190"/>
      <c r="B674" s="191"/>
      <c r="C674" s="190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</row>
    <row r="675" ht="12.75" customHeight="1">
      <c r="A675" s="190"/>
      <c r="B675" s="191"/>
      <c r="C675" s="190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</row>
    <row r="676" ht="12.75" customHeight="1">
      <c r="A676" s="190"/>
      <c r="B676" s="191"/>
      <c r="C676" s="190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</row>
    <row r="677" ht="12.75" customHeight="1">
      <c r="A677" s="190"/>
      <c r="B677" s="191"/>
      <c r="C677" s="190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</row>
    <row r="678" ht="12.75" customHeight="1">
      <c r="A678" s="190"/>
      <c r="B678" s="191"/>
      <c r="C678" s="190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</row>
    <row r="679" ht="12.75" customHeight="1">
      <c r="A679" s="190"/>
      <c r="B679" s="191"/>
      <c r="C679" s="190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</row>
    <row r="680" ht="12.75" customHeight="1">
      <c r="A680" s="190"/>
      <c r="B680" s="191"/>
      <c r="C680" s="190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</row>
    <row r="681" ht="12.75" customHeight="1">
      <c r="A681" s="190"/>
      <c r="B681" s="191"/>
      <c r="C681" s="190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</row>
    <row r="682" ht="12.75" customHeight="1">
      <c r="A682" s="190"/>
      <c r="B682" s="191"/>
      <c r="C682" s="190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</row>
    <row r="683" ht="12.75" customHeight="1">
      <c r="A683" s="190"/>
      <c r="B683" s="191"/>
      <c r="C683" s="190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</row>
    <row r="684" ht="12.75" customHeight="1">
      <c r="A684" s="190"/>
      <c r="B684" s="191"/>
      <c r="C684" s="190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</row>
    <row r="685" ht="12.75" customHeight="1">
      <c r="A685" s="190"/>
      <c r="B685" s="191"/>
      <c r="C685" s="190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</row>
    <row r="686" ht="12.75" customHeight="1">
      <c r="A686" s="190"/>
      <c r="B686" s="191"/>
      <c r="C686" s="190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</row>
    <row r="687" ht="12.75" customHeight="1">
      <c r="A687" s="190"/>
      <c r="B687" s="191"/>
      <c r="C687" s="190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</row>
    <row r="688" ht="12.75" customHeight="1">
      <c r="A688" s="190"/>
      <c r="B688" s="191"/>
      <c r="C688" s="190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</row>
    <row r="689" ht="12.75" customHeight="1">
      <c r="A689" s="190"/>
      <c r="B689" s="191"/>
      <c r="C689" s="190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</row>
    <row r="690" ht="12.75" customHeight="1">
      <c r="A690" s="190"/>
      <c r="B690" s="191"/>
      <c r="C690" s="190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</row>
    <row r="691" ht="12.75" customHeight="1">
      <c r="A691" s="190"/>
      <c r="B691" s="191"/>
      <c r="C691" s="190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</row>
    <row r="692" ht="12.75" customHeight="1">
      <c r="A692" s="190"/>
      <c r="B692" s="191"/>
      <c r="C692" s="190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</row>
    <row r="693" ht="12.75" customHeight="1">
      <c r="A693" s="190"/>
      <c r="B693" s="191"/>
      <c r="C693" s="190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</row>
    <row r="694" ht="12.75" customHeight="1">
      <c r="A694" s="190"/>
      <c r="B694" s="191"/>
      <c r="C694" s="190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</row>
    <row r="695" ht="12.75" customHeight="1">
      <c r="A695" s="190"/>
      <c r="B695" s="191"/>
      <c r="C695" s="190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</row>
    <row r="696" ht="12.75" customHeight="1">
      <c r="A696" s="190"/>
      <c r="B696" s="191"/>
      <c r="C696" s="190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</row>
    <row r="697" ht="12.75" customHeight="1">
      <c r="A697" s="190"/>
      <c r="B697" s="191"/>
      <c r="C697" s="190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</row>
    <row r="698" ht="12.75" customHeight="1">
      <c r="A698" s="190"/>
      <c r="B698" s="191"/>
      <c r="C698" s="190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</row>
    <row r="699" ht="12.75" customHeight="1">
      <c r="A699" s="190"/>
      <c r="B699" s="191"/>
      <c r="C699" s="190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</row>
    <row r="700" ht="12.75" customHeight="1">
      <c r="A700" s="190"/>
      <c r="B700" s="191"/>
      <c r="C700" s="190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</row>
    <row r="701" ht="12.75" customHeight="1">
      <c r="A701" s="190"/>
      <c r="B701" s="191"/>
      <c r="C701" s="190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</row>
    <row r="702" ht="12.75" customHeight="1">
      <c r="A702" s="190"/>
      <c r="B702" s="191"/>
      <c r="C702" s="190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</row>
    <row r="703" ht="12.75" customHeight="1">
      <c r="A703" s="190"/>
      <c r="B703" s="191"/>
      <c r="C703" s="190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</row>
    <row r="704" ht="12.75" customHeight="1">
      <c r="A704" s="190"/>
      <c r="B704" s="191"/>
      <c r="C704" s="190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</row>
    <row r="705" ht="12.75" customHeight="1">
      <c r="A705" s="190"/>
      <c r="B705" s="191"/>
      <c r="C705" s="190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</row>
    <row r="706" ht="12.75" customHeight="1">
      <c r="A706" s="190"/>
      <c r="B706" s="191"/>
      <c r="C706" s="190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</row>
    <row r="707" ht="12.75" customHeight="1">
      <c r="A707" s="190"/>
      <c r="B707" s="191"/>
      <c r="C707" s="190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</row>
    <row r="708" ht="12.75" customHeight="1">
      <c r="A708" s="190"/>
      <c r="B708" s="191"/>
      <c r="C708" s="190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</row>
    <row r="709" ht="12.75" customHeight="1">
      <c r="A709" s="190"/>
      <c r="B709" s="191"/>
      <c r="C709" s="190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</row>
    <row r="710" ht="12.75" customHeight="1">
      <c r="A710" s="190"/>
      <c r="B710" s="191"/>
      <c r="C710" s="190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</row>
    <row r="711" ht="12.75" customHeight="1">
      <c r="A711" s="190"/>
      <c r="B711" s="191"/>
      <c r="C711" s="190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</row>
    <row r="712" ht="12.75" customHeight="1">
      <c r="A712" s="190"/>
      <c r="B712" s="191"/>
      <c r="C712" s="190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</row>
    <row r="713" ht="12.75" customHeight="1">
      <c r="A713" s="190"/>
      <c r="B713" s="191"/>
      <c r="C713" s="190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</row>
    <row r="714" ht="12.75" customHeight="1">
      <c r="A714" s="190"/>
      <c r="B714" s="191"/>
      <c r="C714" s="190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</row>
    <row r="715" ht="12.75" customHeight="1">
      <c r="A715" s="190"/>
      <c r="B715" s="191"/>
      <c r="C715" s="190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</row>
    <row r="716" ht="12.75" customHeight="1">
      <c r="A716" s="190"/>
      <c r="B716" s="191"/>
      <c r="C716" s="190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</row>
    <row r="717" ht="12.75" customHeight="1">
      <c r="A717" s="190"/>
      <c r="B717" s="191"/>
      <c r="C717" s="190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</row>
    <row r="718" ht="12.75" customHeight="1">
      <c r="A718" s="190"/>
      <c r="B718" s="191"/>
      <c r="C718" s="190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</row>
    <row r="719" ht="12.75" customHeight="1">
      <c r="A719" s="190"/>
      <c r="B719" s="191"/>
      <c r="C719" s="190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</row>
    <row r="720" ht="12.75" customHeight="1">
      <c r="A720" s="190"/>
      <c r="B720" s="191"/>
      <c r="C720" s="190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</row>
    <row r="721" ht="12.75" customHeight="1">
      <c r="A721" s="190"/>
      <c r="B721" s="191"/>
      <c r="C721" s="190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</row>
    <row r="722" ht="12.75" customHeight="1">
      <c r="A722" s="190"/>
      <c r="B722" s="191"/>
      <c r="C722" s="190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</row>
    <row r="723" ht="12.75" customHeight="1">
      <c r="A723" s="190"/>
      <c r="B723" s="191"/>
      <c r="C723" s="190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</row>
    <row r="724" ht="12.75" customHeight="1">
      <c r="A724" s="190"/>
      <c r="B724" s="191"/>
      <c r="C724" s="190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</row>
    <row r="725" ht="12.75" customHeight="1">
      <c r="A725" s="190"/>
      <c r="B725" s="191"/>
      <c r="C725" s="190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</row>
    <row r="726" ht="12.75" customHeight="1">
      <c r="A726" s="190"/>
      <c r="B726" s="191"/>
      <c r="C726" s="190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</row>
    <row r="727" ht="12.75" customHeight="1">
      <c r="A727" s="190"/>
      <c r="B727" s="191"/>
      <c r="C727" s="190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</row>
    <row r="728" ht="12.75" customHeight="1">
      <c r="A728" s="190"/>
      <c r="B728" s="191"/>
      <c r="C728" s="190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</row>
    <row r="729" ht="12.75" customHeight="1">
      <c r="A729" s="190"/>
      <c r="B729" s="191"/>
      <c r="C729" s="190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</row>
    <row r="730" ht="12.75" customHeight="1">
      <c r="A730" s="190"/>
      <c r="B730" s="191"/>
      <c r="C730" s="190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</row>
    <row r="731" ht="12.75" customHeight="1">
      <c r="A731" s="190"/>
      <c r="B731" s="191"/>
      <c r="C731" s="190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</row>
    <row r="732" ht="12.75" customHeight="1">
      <c r="A732" s="190"/>
      <c r="B732" s="191"/>
      <c r="C732" s="190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</row>
    <row r="733" ht="12.75" customHeight="1">
      <c r="A733" s="190"/>
      <c r="B733" s="191"/>
      <c r="C733" s="190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</row>
    <row r="734" ht="12.75" customHeight="1">
      <c r="A734" s="190"/>
      <c r="B734" s="191"/>
      <c r="C734" s="190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</row>
    <row r="735" ht="12.75" customHeight="1">
      <c r="A735" s="190"/>
      <c r="B735" s="191"/>
      <c r="C735" s="190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</row>
    <row r="736" ht="12.75" customHeight="1">
      <c r="A736" s="190"/>
      <c r="B736" s="191"/>
      <c r="C736" s="190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</row>
    <row r="737" ht="12.75" customHeight="1">
      <c r="A737" s="190"/>
      <c r="B737" s="191"/>
      <c r="C737" s="190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</row>
    <row r="738" ht="12.75" customHeight="1">
      <c r="A738" s="190"/>
      <c r="B738" s="191"/>
      <c r="C738" s="190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</row>
    <row r="739" ht="12.75" customHeight="1">
      <c r="A739" s="190"/>
      <c r="B739" s="191"/>
      <c r="C739" s="190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</row>
    <row r="740" ht="12.75" customHeight="1">
      <c r="A740" s="190"/>
      <c r="B740" s="191"/>
      <c r="C740" s="190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</row>
    <row r="741" ht="12.75" customHeight="1">
      <c r="A741" s="190"/>
      <c r="B741" s="191"/>
      <c r="C741" s="190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</row>
    <row r="742" ht="12.75" customHeight="1">
      <c r="A742" s="190"/>
      <c r="B742" s="191"/>
      <c r="C742" s="190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</row>
    <row r="743" ht="12.75" customHeight="1">
      <c r="A743" s="190"/>
      <c r="B743" s="191"/>
      <c r="C743" s="190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</row>
    <row r="744" ht="12.75" customHeight="1">
      <c r="A744" s="190"/>
      <c r="B744" s="191"/>
      <c r="C744" s="190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</row>
    <row r="745" ht="12.75" customHeight="1">
      <c r="A745" s="190"/>
      <c r="B745" s="191"/>
      <c r="C745" s="190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</row>
    <row r="746" ht="12.75" customHeight="1">
      <c r="A746" s="190"/>
      <c r="B746" s="191"/>
      <c r="C746" s="190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</row>
    <row r="747" ht="12.75" customHeight="1">
      <c r="A747" s="190"/>
      <c r="B747" s="191"/>
      <c r="C747" s="190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</row>
    <row r="748" ht="12.75" customHeight="1">
      <c r="A748" s="190"/>
      <c r="B748" s="191"/>
      <c r="C748" s="190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</row>
    <row r="749" ht="12.75" customHeight="1">
      <c r="A749" s="190"/>
      <c r="B749" s="191"/>
      <c r="C749" s="190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</row>
    <row r="750" ht="12.75" customHeight="1">
      <c r="A750" s="190"/>
      <c r="B750" s="191"/>
      <c r="C750" s="190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</row>
    <row r="751" ht="12.75" customHeight="1">
      <c r="A751" s="190"/>
      <c r="B751" s="191"/>
      <c r="C751" s="190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</row>
    <row r="752" ht="12.75" customHeight="1">
      <c r="A752" s="190"/>
      <c r="B752" s="191"/>
      <c r="C752" s="190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</row>
    <row r="753" ht="12.75" customHeight="1">
      <c r="A753" s="190"/>
      <c r="B753" s="191"/>
      <c r="C753" s="190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</row>
    <row r="754" ht="12.75" customHeight="1">
      <c r="A754" s="190"/>
      <c r="B754" s="191"/>
      <c r="C754" s="190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</row>
    <row r="755" ht="12.75" customHeight="1">
      <c r="A755" s="190"/>
      <c r="B755" s="191"/>
      <c r="C755" s="190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</row>
    <row r="756" ht="12.75" customHeight="1">
      <c r="A756" s="190"/>
      <c r="B756" s="191"/>
      <c r="C756" s="190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</row>
    <row r="757" ht="12.75" customHeight="1">
      <c r="A757" s="190"/>
      <c r="B757" s="191"/>
      <c r="C757" s="190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</row>
    <row r="758" ht="12.75" customHeight="1">
      <c r="A758" s="190"/>
      <c r="B758" s="191"/>
      <c r="C758" s="190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</row>
    <row r="759" ht="12.75" customHeight="1">
      <c r="A759" s="190"/>
      <c r="B759" s="191"/>
      <c r="C759" s="190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</row>
    <row r="760" ht="12.75" customHeight="1">
      <c r="A760" s="190"/>
      <c r="B760" s="191"/>
      <c r="C760" s="190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</row>
    <row r="761" ht="12.75" customHeight="1">
      <c r="A761" s="190"/>
      <c r="B761" s="191"/>
      <c r="C761" s="190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</row>
    <row r="762" ht="12.75" customHeight="1">
      <c r="A762" s="190"/>
      <c r="B762" s="191"/>
      <c r="C762" s="190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</row>
    <row r="763" ht="12.75" customHeight="1">
      <c r="A763" s="190"/>
      <c r="B763" s="191"/>
      <c r="C763" s="190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</row>
    <row r="764" ht="12.75" customHeight="1">
      <c r="A764" s="190"/>
      <c r="B764" s="191"/>
      <c r="C764" s="190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</row>
    <row r="765" ht="12.75" customHeight="1">
      <c r="A765" s="190"/>
      <c r="B765" s="191"/>
      <c r="C765" s="190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</row>
    <row r="766" ht="12.75" customHeight="1">
      <c r="A766" s="190"/>
      <c r="B766" s="191"/>
      <c r="C766" s="190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</row>
    <row r="767" ht="12.75" customHeight="1">
      <c r="A767" s="190"/>
      <c r="B767" s="191"/>
      <c r="C767" s="190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</row>
    <row r="768" ht="12.75" customHeight="1">
      <c r="A768" s="190"/>
      <c r="B768" s="191"/>
      <c r="C768" s="190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</row>
    <row r="769" ht="12.75" customHeight="1">
      <c r="A769" s="190"/>
      <c r="B769" s="191"/>
      <c r="C769" s="190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</row>
    <row r="770" ht="12.75" customHeight="1">
      <c r="A770" s="190"/>
      <c r="B770" s="191"/>
      <c r="C770" s="190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</row>
    <row r="771" ht="12.75" customHeight="1">
      <c r="A771" s="190"/>
      <c r="B771" s="191"/>
      <c r="C771" s="190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</row>
    <row r="772" ht="12.75" customHeight="1">
      <c r="A772" s="190"/>
      <c r="B772" s="191"/>
      <c r="C772" s="190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</row>
    <row r="773" ht="12.75" customHeight="1">
      <c r="A773" s="190"/>
      <c r="B773" s="191"/>
      <c r="C773" s="190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</row>
    <row r="774" ht="12.75" customHeight="1">
      <c r="A774" s="190"/>
      <c r="B774" s="191"/>
      <c r="C774" s="190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</row>
    <row r="775" ht="12.75" customHeight="1">
      <c r="A775" s="190"/>
      <c r="B775" s="191"/>
      <c r="C775" s="190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</row>
    <row r="776" ht="12.75" customHeight="1">
      <c r="A776" s="190"/>
      <c r="B776" s="191"/>
      <c r="C776" s="190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</row>
    <row r="777" ht="12.75" customHeight="1">
      <c r="A777" s="190"/>
      <c r="B777" s="191"/>
      <c r="C777" s="190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</row>
    <row r="778" ht="12.75" customHeight="1">
      <c r="A778" s="190"/>
      <c r="B778" s="191"/>
      <c r="C778" s="190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</row>
    <row r="779" ht="12.75" customHeight="1">
      <c r="A779" s="190"/>
      <c r="B779" s="191"/>
      <c r="C779" s="190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</row>
    <row r="780" ht="12.75" customHeight="1">
      <c r="A780" s="190"/>
      <c r="B780" s="191"/>
      <c r="C780" s="190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</row>
    <row r="781" ht="12.75" customHeight="1">
      <c r="A781" s="190"/>
      <c r="B781" s="191"/>
      <c r="C781" s="190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</row>
    <row r="782" ht="12.75" customHeight="1">
      <c r="A782" s="190"/>
      <c r="B782" s="191"/>
      <c r="C782" s="190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</row>
    <row r="783" ht="12.75" customHeight="1">
      <c r="A783" s="190"/>
      <c r="B783" s="191"/>
      <c r="C783" s="190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</row>
    <row r="784" ht="12.75" customHeight="1">
      <c r="A784" s="190"/>
      <c r="B784" s="191"/>
      <c r="C784" s="190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</row>
    <row r="785" ht="12.75" customHeight="1">
      <c r="A785" s="190"/>
      <c r="B785" s="191"/>
      <c r="C785" s="190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</row>
    <row r="786" ht="12.75" customHeight="1">
      <c r="A786" s="190"/>
      <c r="B786" s="191"/>
      <c r="C786" s="190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</row>
    <row r="787" ht="12.75" customHeight="1">
      <c r="A787" s="190"/>
      <c r="B787" s="191"/>
      <c r="C787" s="190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</row>
    <row r="788" ht="12.75" customHeight="1">
      <c r="A788" s="190"/>
      <c r="B788" s="191"/>
      <c r="C788" s="190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</row>
    <row r="789" ht="12.75" customHeight="1">
      <c r="A789" s="190"/>
      <c r="B789" s="191"/>
      <c r="C789" s="190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</row>
    <row r="790" ht="12.75" customHeight="1">
      <c r="A790" s="190"/>
      <c r="B790" s="191"/>
      <c r="C790" s="190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</row>
    <row r="791" ht="12.75" customHeight="1">
      <c r="A791" s="190"/>
      <c r="B791" s="191"/>
      <c r="C791" s="190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</row>
    <row r="792" ht="12.75" customHeight="1">
      <c r="A792" s="190"/>
      <c r="B792" s="191"/>
      <c r="C792" s="190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</row>
    <row r="793" ht="12.75" customHeight="1">
      <c r="A793" s="190"/>
      <c r="B793" s="191"/>
      <c r="C793" s="190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</row>
    <row r="794" ht="12.75" customHeight="1">
      <c r="A794" s="190"/>
      <c r="B794" s="191"/>
      <c r="C794" s="190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</row>
    <row r="795" ht="12.75" customHeight="1">
      <c r="A795" s="190"/>
      <c r="B795" s="191"/>
      <c r="C795" s="190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</row>
    <row r="796" ht="12.75" customHeight="1">
      <c r="A796" s="190"/>
      <c r="B796" s="191"/>
      <c r="C796" s="190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</row>
    <row r="797" ht="12.75" customHeight="1">
      <c r="A797" s="190"/>
      <c r="B797" s="191"/>
      <c r="C797" s="190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</row>
    <row r="798" ht="12.75" customHeight="1">
      <c r="A798" s="190"/>
      <c r="B798" s="191"/>
      <c r="C798" s="190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</row>
    <row r="799" ht="12.75" customHeight="1">
      <c r="A799" s="190"/>
      <c r="B799" s="191"/>
      <c r="C799" s="190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</row>
    <row r="800" ht="12.75" customHeight="1">
      <c r="A800" s="190"/>
      <c r="B800" s="191"/>
      <c r="C800" s="190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</row>
    <row r="801" ht="12.75" customHeight="1">
      <c r="A801" s="190"/>
      <c r="B801" s="191"/>
      <c r="C801" s="190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</row>
    <row r="802" ht="12.75" customHeight="1">
      <c r="A802" s="190"/>
      <c r="B802" s="191"/>
      <c r="C802" s="190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</row>
    <row r="803" ht="12.75" customHeight="1">
      <c r="A803" s="190"/>
      <c r="B803" s="191"/>
      <c r="C803" s="190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</row>
    <row r="804" ht="12.75" customHeight="1">
      <c r="A804" s="190"/>
      <c r="B804" s="191"/>
      <c r="C804" s="190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</row>
    <row r="805" ht="12.75" customHeight="1">
      <c r="A805" s="190"/>
      <c r="B805" s="191"/>
      <c r="C805" s="190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</row>
    <row r="806" ht="12.75" customHeight="1">
      <c r="A806" s="190"/>
      <c r="B806" s="191"/>
      <c r="C806" s="190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</row>
    <row r="807" ht="12.75" customHeight="1">
      <c r="A807" s="190"/>
      <c r="B807" s="191"/>
      <c r="C807" s="190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</row>
    <row r="808" ht="12.75" customHeight="1">
      <c r="A808" s="190"/>
      <c r="B808" s="191"/>
      <c r="C808" s="190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</row>
    <row r="809" ht="12.75" customHeight="1">
      <c r="A809" s="190"/>
      <c r="B809" s="191"/>
      <c r="C809" s="190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</row>
    <row r="810" ht="12.75" customHeight="1">
      <c r="A810" s="190"/>
      <c r="B810" s="191"/>
      <c r="C810" s="190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</row>
    <row r="811" ht="12.75" customHeight="1">
      <c r="A811" s="190"/>
      <c r="B811" s="191"/>
      <c r="C811" s="190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</row>
    <row r="812" ht="12.75" customHeight="1">
      <c r="A812" s="190"/>
      <c r="B812" s="191"/>
      <c r="C812" s="190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</row>
    <row r="813" ht="12.75" customHeight="1">
      <c r="A813" s="190"/>
      <c r="B813" s="191"/>
      <c r="C813" s="190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</row>
    <row r="814" ht="12.75" customHeight="1">
      <c r="A814" s="190"/>
      <c r="B814" s="191"/>
      <c r="C814" s="190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</row>
    <row r="815" ht="12.75" customHeight="1">
      <c r="A815" s="190"/>
      <c r="B815" s="191"/>
      <c r="C815" s="190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</row>
    <row r="816" ht="12.75" customHeight="1">
      <c r="A816" s="190"/>
      <c r="B816" s="191"/>
      <c r="C816" s="190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</row>
    <row r="817" ht="12.75" customHeight="1">
      <c r="A817" s="190"/>
      <c r="B817" s="191"/>
      <c r="C817" s="190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</row>
    <row r="818" ht="12.75" customHeight="1">
      <c r="A818" s="190"/>
      <c r="B818" s="191"/>
      <c r="C818" s="190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</row>
    <row r="819" ht="12.75" customHeight="1">
      <c r="A819" s="190"/>
      <c r="B819" s="191"/>
      <c r="C819" s="190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</row>
    <row r="820" ht="12.75" customHeight="1">
      <c r="A820" s="190"/>
      <c r="B820" s="191"/>
      <c r="C820" s="190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</row>
    <row r="821" ht="12.75" customHeight="1">
      <c r="A821" s="190"/>
      <c r="B821" s="191"/>
      <c r="C821" s="190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</row>
    <row r="822" ht="12.75" customHeight="1">
      <c r="A822" s="190"/>
      <c r="B822" s="191"/>
      <c r="C822" s="190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</row>
    <row r="823" ht="12.75" customHeight="1">
      <c r="A823" s="190"/>
      <c r="B823" s="191"/>
      <c r="C823" s="190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</row>
    <row r="824" ht="12.75" customHeight="1">
      <c r="A824" s="190"/>
      <c r="B824" s="191"/>
      <c r="C824" s="190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</row>
    <row r="825" ht="12.75" customHeight="1">
      <c r="A825" s="190"/>
      <c r="B825" s="191"/>
      <c r="C825" s="190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</row>
    <row r="826" ht="12.75" customHeight="1">
      <c r="A826" s="190"/>
      <c r="B826" s="191"/>
      <c r="C826" s="190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</row>
    <row r="827" ht="12.75" customHeight="1">
      <c r="A827" s="190"/>
      <c r="B827" s="191"/>
      <c r="C827" s="190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</row>
    <row r="828" ht="12.75" customHeight="1">
      <c r="A828" s="190"/>
      <c r="B828" s="191"/>
      <c r="C828" s="190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</row>
    <row r="829" ht="12.75" customHeight="1">
      <c r="A829" s="190"/>
      <c r="B829" s="191"/>
      <c r="C829" s="190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</row>
    <row r="830" ht="12.75" customHeight="1">
      <c r="A830" s="190"/>
      <c r="B830" s="191"/>
      <c r="C830" s="190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</row>
    <row r="831" ht="12.75" customHeight="1">
      <c r="A831" s="190"/>
      <c r="B831" s="191"/>
      <c r="C831" s="190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</row>
    <row r="832" ht="12.75" customHeight="1">
      <c r="A832" s="190"/>
      <c r="B832" s="191"/>
      <c r="C832" s="190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</row>
    <row r="833" ht="12.75" customHeight="1">
      <c r="A833" s="190"/>
      <c r="B833" s="191"/>
      <c r="C833" s="190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</row>
    <row r="834" ht="12.75" customHeight="1">
      <c r="A834" s="190"/>
      <c r="B834" s="191"/>
      <c r="C834" s="190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</row>
    <row r="835" ht="12.75" customHeight="1">
      <c r="A835" s="190"/>
      <c r="B835" s="191"/>
      <c r="C835" s="190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</row>
    <row r="836" ht="12.75" customHeight="1">
      <c r="A836" s="190"/>
      <c r="B836" s="191"/>
      <c r="C836" s="190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</row>
    <row r="837" ht="12.75" customHeight="1">
      <c r="A837" s="190"/>
      <c r="B837" s="191"/>
      <c r="C837" s="190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</row>
    <row r="838" ht="12.75" customHeight="1">
      <c r="A838" s="190"/>
      <c r="B838" s="191"/>
      <c r="C838" s="190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</row>
    <row r="839" ht="12.75" customHeight="1">
      <c r="A839" s="190"/>
      <c r="B839" s="191"/>
      <c r="C839" s="190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</row>
    <row r="840" ht="12.75" customHeight="1">
      <c r="A840" s="190"/>
      <c r="B840" s="191"/>
      <c r="C840" s="190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</row>
    <row r="841" ht="12.75" customHeight="1">
      <c r="A841" s="190"/>
      <c r="B841" s="191"/>
      <c r="C841" s="190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</row>
    <row r="842" ht="12.75" customHeight="1">
      <c r="A842" s="190"/>
      <c r="B842" s="191"/>
      <c r="C842" s="190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</row>
    <row r="843" ht="12.75" customHeight="1">
      <c r="A843" s="190"/>
      <c r="B843" s="191"/>
      <c r="C843" s="190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</row>
    <row r="844" ht="12.75" customHeight="1">
      <c r="A844" s="190"/>
      <c r="B844" s="191"/>
      <c r="C844" s="190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</row>
    <row r="845" ht="12.75" customHeight="1">
      <c r="A845" s="190"/>
      <c r="B845" s="191"/>
      <c r="C845" s="190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</row>
    <row r="846" ht="12.75" customHeight="1">
      <c r="A846" s="190"/>
      <c r="B846" s="191"/>
      <c r="C846" s="190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</row>
    <row r="847" ht="12.75" customHeight="1">
      <c r="A847" s="190"/>
      <c r="B847" s="191"/>
      <c r="C847" s="190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</row>
    <row r="848" ht="12.75" customHeight="1">
      <c r="A848" s="190"/>
      <c r="B848" s="191"/>
      <c r="C848" s="190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</row>
    <row r="849" ht="12.75" customHeight="1">
      <c r="A849" s="190"/>
      <c r="B849" s="191"/>
      <c r="C849" s="190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</row>
    <row r="850" ht="12.75" customHeight="1">
      <c r="A850" s="190"/>
      <c r="B850" s="191"/>
      <c r="C850" s="190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</row>
    <row r="851" ht="12.75" customHeight="1">
      <c r="A851" s="190"/>
      <c r="B851" s="191"/>
      <c r="C851" s="190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</row>
    <row r="852" ht="12.75" customHeight="1">
      <c r="A852" s="190"/>
      <c r="B852" s="191"/>
      <c r="C852" s="190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</row>
    <row r="853" ht="12.75" customHeight="1">
      <c r="A853" s="190"/>
      <c r="B853" s="191"/>
      <c r="C853" s="190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</row>
    <row r="854" ht="12.75" customHeight="1">
      <c r="A854" s="190"/>
      <c r="B854" s="191"/>
      <c r="C854" s="190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</row>
    <row r="855" ht="12.75" customHeight="1">
      <c r="A855" s="190"/>
      <c r="B855" s="191"/>
      <c r="C855" s="190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</row>
    <row r="856" ht="12.75" customHeight="1">
      <c r="A856" s="190"/>
      <c r="B856" s="191"/>
      <c r="C856" s="190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</row>
    <row r="857" ht="12.75" customHeight="1">
      <c r="A857" s="190"/>
      <c r="B857" s="191"/>
      <c r="C857" s="190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</row>
    <row r="858" ht="12.75" customHeight="1">
      <c r="A858" s="190"/>
      <c r="B858" s="191"/>
      <c r="C858" s="190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</row>
    <row r="859" ht="12.75" customHeight="1">
      <c r="A859" s="190"/>
      <c r="B859" s="191"/>
      <c r="C859" s="190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</row>
    <row r="860" ht="12.75" customHeight="1">
      <c r="A860" s="190"/>
      <c r="B860" s="191"/>
      <c r="C860" s="190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</row>
    <row r="861" ht="12.75" customHeight="1">
      <c r="A861" s="190"/>
      <c r="B861" s="191"/>
      <c r="C861" s="190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</row>
    <row r="862" ht="12.75" customHeight="1">
      <c r="A862" s="190"/>
      <c r="B862" s="191"/>
      <c r="C862" s="190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</row>
    <row r="863" ht="12.75" customHeight="1">
      <c r="A863" s="190"/>
      <c r="B863" s="191"/>
      <c r="C863" s="190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</row>
    <row r="864" ht="12.75" customHeight="1">
      <c r="A864" s="190"/>
      <c r="B864" s="191"/>
      <c r="C864" s="190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</row>
    <row r="865" ht="12.75" customHeight="1">
      <c r="A865" s="190"/>
      <c r="B865" s="191"/>
      <c r="C865" s="190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</row>
    <row r="866" ht="12.75" customHeight="1">
      <c r="A866" s="190"/>
      <c r="B866" s="191"/>
      <c r="C866" s="190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</row>
    <row r="867" ht="12.75" customHeight="1">
      <c r="A867" s="190"/>
      <c r="B867" s="191"/>
      <c r="C867" s="190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</row>
    <row r="868" ht="12.75" customHeight="1">
      <c r="A868" s="190"/>
      <c r="B868" s="191"/>
      <c r="C868" s="190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</row>
    <row r="869" ht="12.75" customHeight="1">
      <c r="A869" s="190"/>
      <c r="B869" s="191"/>
      <c r="C869" s="190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</row>
    <row r="870" ht="12.75" customHeight="1">
      <c r="A870" s="190"/>
      <c r="B870" s="191"/>
      <c r="C870" s="190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</row>
    <row r="871" ht="12.75" customHeight="1">
      <c r="A871" s="190"/>
      <c r="B871" s="191"/>
      <c r="C871" s="190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</row>
    <row r="872" ht="12.75" customHeight="1">
      <c r="A872" s="190"/>
      <c r="B872" s="191"/>
      <c r="C872" s="190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</row>
    <row r="873" ht="12.75" customHeight="1">
      <c r="A873" s="190"/>
      <c r="B873" s="191"/>
      <c r="C873" s="190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</row>
    <row r="874" ht="12.75" customHeight="1">
      <c r="A874" s="190"/>
      <c r="B874" s="191"/>
      <c r="C874" s="190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</row>
    <row r="875" ht="12.75" customHeight="1">
      <c r="A875" s="190"/>
      <c r="B875" s="191"/>
      <c r="C875" s="190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</row>
    <row r="876" ht="12.75" customHeight="1">
      <c r="A876" s="190"/>
      <c r="B876" s="191"/>
      <c r="C876" s="190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</row>
    <row r="877" ht="12.75" customHeight="1">
      <c r="A877" s="190"/>
      <c r="B877" s="191"/>
      <c r="C877" s="190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</row>
    <row r="878" ht="12.75" customHeight="1">
      <c r="A878" s="190"/>
      <c r="B878" s="191"/>
      <c r="C878" s="190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</row>
    <row r="879" ht="12.75" customHeight="1">
      <c r="A879" s="190"/>
      <c r="B879" s="191"/>
      <c r="C879" s="190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</row>
    <row r="880" ht="12.75" customHeight="1">
      <c r="A880" s="190"/>
      <c r="B880" s="191"/>
      <c r="C880" s="190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</row>
    <row r="881" ht="12.75" customHeight="1">
      <c r="A881" s="190"/>
      <c r="B881" s="191"/>
      <c r="C881" s="190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</row>
    <row r="882" ht="12.75" customHeight="1">
      <c r="A882" s="190"/>
      <c r="B882" s="191"/>
      <c r="C882" s="190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</row>
    <row r="883" ht="12.75" customHeight="1">
      <c r="A883" s="190"/>
      <c r="B883" s="191"/>
      <c r="C883" s="190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</row>
    <row r="884" ht="12.75" customHeight="1">
      <c r="A884" s="190"/>
      <c r="B884" s="191"/>
      <c r="C884" s="190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</row>
    <row r="885" ht="12.75" customHeight="1">
      <c r="A885" s="190"/>
      <c r="B885" s="191"/>
      <c r="C885" s="190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</row>
    <row r="886" ht="12.75" customHeight="1">
      <c r="A886" s="190"/>
      <c r="B886" s="191"/>
      <c r="C886" s="190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</row>
    <row r="887" ht="12.75" customHeight="1">
      <c r="A887" s="190"/>
      <c r="B887" s="191"/>
      <c r="C887" s="190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</row>
    <row r="888" ht="12.75" customHeight="1">
      <c r="A888" s="190"/>
      <c r="B888" s="191"/>
      <c r="C888" s="190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</row>
    <row r="889" ht="12.75" customHeight="1">
      <c r="A889" s="190"/>
      <c r="B889" s="191"/>
      <c r="C889" s="190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</row>
    <row r="890" ht="12.75" customHeight="1">
      <c r="A890" s="190"/>
      <c r="B890" s="191"/>
      <c r="C890" s="190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</row>
    <row r="891" ht="12.75" customHeight="1">
      <c r="A891" s="190"/>
      <c r="B891" s="191"/>
      <c r="C891" s="190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</row>
    <row r="892" ht="12.75" customHeight="1">
      <c r="A892" s="190"/>
      <c r="B892" s="191"/>
      <c r="C892" s="190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</row>
    <row r="893" ht="12.75" customHeight="1">
      <c r="A893" s="190"/>
      <c r="B893" s="191"/>
      <c r="C893" s="190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</row>
    <row r="894" ht="12.75" customHeight="1">
      <c r="A894" s="190"/>
      <c r="B894" s="191"/>
      <c r="C894" s="190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</row>
    <row r="895" ht="12.75" customHeight="1">
      <c r="A895" s="190"/>
      <c r="B895" s="191"/>
      <c r="C895" s="190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</row>
    <row r="896" ht="12.75" customHeight="1">
      <c r="A896" s="190"/>
      <c r="B896" s="191"/>
      <c r="C896" s="190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</row>
    <row r="897" ht="12.75" customHeight="1">
      <c r="A897" s="190"/>
      <c r="B897" s="191"/>
      <c r="C897" s="190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</row>
    <row r="898" ht="12.75" customHeight="1">
      <c r="A898" s="190"/>
      <c r="B898" s="191"/>
      <c r="C898" s="190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</row>
    <row r="899" ht="12.75" customHeight="1">
      <c r="A899" s="190"/>
      <c r="B899" s="191"/>
      <c r="C899" s="190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</row>
    <row r="900" ht="12.75" customHeight="1">
      <c r="A900" s="190"/>
      <c r="B900" s="191"/>
      <c r="C900" s="190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</row>
    <row r="901" ht="12.75" customHeight="1">
      <c r="A901" s="190"/>
      <c r="B901" s="191"/>
      <c r="C901" s="190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</row>
    <row r="902" ht="12.75" customHeight="1">
      <c r="A902" s="190"/>
      <c r="B902" s="191"/>
      <c r="C902" s="190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</row>
    <row r="903" ht="12.75" customHeight="1">
      <c r="A903" s="190"/>
      <c r="B903" s="191"/>
      <c r="C903" s="190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</row>
    <row r="904" ht="12.75" customHeight="1">
      <c r="A904" s="190"/>
      <c r="B904" s="191"/>
      <c r="C904" s="190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</row>
    <row r="905" ht="12.75" customHeight="1">
      <c r="A905" s="190"/>
      <c r="B905" s="191"/>
      <c r="C905" s="190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</row>
    <row r="906" ht="12.75" customHeight="1">
      <c r="A906" s="190"/>
      <c r="B906" s="191"/>
      <c r="C906" s="190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</row>
    <row r="907" ht="12.75" customHeight="1">
      <c r="A907" s="190"/>
      <c r="B907" s="191"/>
      <c r="C907" s="190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</row>
    <row r="908" ht="12.75" customHeight="1">
      <c r="A908" s="190"/>
      <c r="B908" s="191"/>
      <c r="C908" s="190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</row>
    <row r="909" ht="12.75" customHeight="1">
      <c r="A909" s="190"/>
      <c r="B909" s="191"/>
      <c r="C909" s="190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</row>
    <row r="910" ht="12.75" customHeight="1">
      <c r="A910" s="190"/>
      <c r="B910" s="191"/>
      <c r="C910" s="190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</row>
    <row r="911" ht="12.75" customHeight="1">
      <c r="A911" s="190"/>
      <c r="B911" s="191"/>
      <c r="C911" s="190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</row>
    <row r="912" ht="12.75" customHeight="1">
      <c r="A912" s="190"/>
      <c r="B912" s="191"/>
      <c r="C912" s="190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</row>
    <row r="913" ht="12.75" customHeight="1">
      <c r="A913" s="190"/>
      <c r="B913" s="191"/>
      <c r="C913" s="190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</row>
    <row r="914" ht="12.75" customHeight="1">
      <c r="A914" s="190"/>
      <c r="B914" s="191"/>
      <c r="C914" s="190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</row>
    <row r="915" ht="12.75" customHeight="1">
      <c r="A915" s="190"/>
      <c r="B915" s="191"/>
      <c r="C915" s="190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</row>
    <row r="916" ht="12.75" customHeight="1">
      <c r="A916" s="190"/>
      <c r="B916" s="191"/>
      <c r="C916" s="190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</row>
    <row r="917" ht="12.75" customHeight="1">
      <c r="A917" s="190"/>
      <c r="B917" s="191"/>
      <c r="C917" s="190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</row>
    <row r="918" ht="12.75" customHeight="1">
      <c r="A918" s="190"/>
      <c r="B918" s="191"/>
      <c r="C918" s="190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</row>
    <row r="919" ht="12.75" customHeight="1">
      <c r="A919" s="190"/>
      <c r="B919" s="191"/>
      <c r="C919" s="190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</row>
    <row r="920" ht="12.75" customHeight="1">
      <c r="A920" s="190"/>
      <c r="B920" s="191"/>
      <c r="C920" s="190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</row>
    <row r="921" ht="12.75" customHeight="1">
      <c r="A921" s="190"/>
      <c r="B921" s="191"/>
      <c r="C921" s="190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</row>
    <row r="922" ht="12.75" customHeight="1">
      <c r="A922" s="190"/>
      <c r="B922" s="191"/>
      <c r="C922" s="190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</row>
    <row r="923" ht="12.75" customHeight="1">
      <c r="A923" s="190"/>
      <c r="B923" s="191"/>
      <c r="C923" s="190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</row>
    <row r="924" ht="12.75" customHeight="1">
      <c r="A924" s="190"/>
      <c r="B924" s="191"/>
      <c r="C924" s="190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</row>
    <row r="925" ht="12.75" customHeight="1">
      <c r="A925" s="190"/>
      <c r="B925" s="191"/>
      <c r="C925" s="190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</row>
    <row r="926" ht="12.75" customHeight="1">
      <c r="A926" s="190"/>
      <c r="B926" s="191"/>
      <c r="C926" s="190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</row>
    <row r="927" ht="12.75" customHeight="1">
      <c r="A927" s="190"/>
      <c r="B927" s="191"/>
      <c r="C927" s="190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</row>
    <row r="928" ht="12.75" customHeight="1">
      <c r="A928" s="190"/>
      <c r="B928" s="191"/>
      <c r="C928" s="190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</row>
    <row r="929" ht="12.75" customHeight="1">
      <c r="A929" s="190"/>
      <c r="B929" s="191"/>
      <c r="C929" s="190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</row>
    <row r="930" ht="12.75" customHeight="1">
      <c r="A930" s="190"/>
      <c r="B930" s="191"/>
      <c r="C930" s="190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</row>
    <row r="931" ht="12.75" customHeight="1">
      <c r="A931" s="190"/>
      <c r="B931" s="191"/>
      <c r="C931" s="190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</row>
    <row r="932" ht="12.75" customHeight="1">
      <c r="A932" s="190"/>
      <c r="B932" s="191"/>
      <c r="C932" s="190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</row>
    <row r="933" ht="12.75" customHeight="1">
      <c r="A933" s="190"/>
      <c r="B933" s="191"/>
      <c r="C933" s="190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</row>
    <row r="934" ht="12.75" customHeight="1">
      <c r="A934" s="190"/>
      <c r="B934" s="191"/>
      <c r="C934" s="190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</row>
    <row r="935" ht="12.75" customHeight="1">
      <c r="A935" s="190"/>
      <c r="B935" s="191"/>
      <c r="C935" s="190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</row>
    <row r="936" ht="12.75" customHeight="1">
      <c r="A936" s="190"/>
      <c r="B936" s="191"/>
      <c r="C936" s="190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</row>
    <row r="937" ht="12.75" customHeight="1">
      <c r="A937" s="190"/>
      <c r="B937" s="191"/>
      <c r="C937" s="190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</row>
    <row r="938" ht="12.75" customHeight="1">
      <c r="A938" s="190"/>
      <c r="B938" s="191"/>
      <c r="C938" s="190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</row>
    <row r="939" ht="12.75" customHeight="1">
      <c r="A939" s="190"/>
      <c r="B939" s="191"/>
      <c r="C939" s="190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</row>
    <row r="940" ht="12.75" customHeight="1">
      <c r="A940" s="190"/>
      <c r="B940" s="191"/>
      <c r="C940" s="190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</row>
    <row r="941" ht="12.75" customHeight="1">
      <c r="A941" s="190"/>
      <c r="B941" s="191"/>
      <c r="C941" s="190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</row>
    <row r="942" ht="12.75" customHeight="1">
      <c r="A942" s="190"/>
      <c r="B942" s="191"/>
      <c r="C942" s="190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</row>
    <row r="943" ht="12.75" customHeight="1">
      <c r="A943" s="190"/>
      <c r="B943" s="191"/>
      <c r="C943" s="190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</row>
    <row r="944" ht="12.75" customHeight="1">
      <c r="A944" s="190"/>
      <c r="B944" s="191"/>
      <c r="C944" s="190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</row>
    <row r="945" ht="12.75" customHeight="1">
      <c r="A945" s="190"/>
      <c r="B945" s="191"/>
      <c r="C945" s="190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</row>
    <row r="946" ht="12.75" customHeight="1">
      <c r="A946" s="190"/>
      <c r="B946" s="191"/>
      <c r="C946" s="190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</row>
    <row r="947" ht="12.75" customHeight="1">
      <c r="A947" s="190"/>
      <c r="B947" s="191"/>
      <c r="C947" s="190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</row>
    <row r="948" ht="12.75" customHeight="1">
      <c r="A948" s="190"/>
      <c r="B948" s="191"/>
      <c r="C948" s="190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</row>
    <row r="949" ht="12.75" customHeight="1">
      <c r="A949" s="190"/>
      <c r="B949" s="191"/>
      <c r="C949" s="190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</row>
    <row r="950" ht="12.75" customHeight="1">
      <c r="A950" s="190"/>
      <c r="B950" s="191"/>
      <c r="C950" s="190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</row>
    <row r="951" ht="12.75" customHeight="1">
      <c r="A951" s="190"/>
      <c r="B951" s="191"/>
      <c r="C951" s="190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</row>
    <row r="952" ht="12.75" customHeight="1">
      <c r="A952" s="190"/>
      <c r="B952" s="191"/>
      <c r="C952" s="190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</row>
    <row r="953" ht="12.75" customHeight="1">
      <c r="A953" s="190"/>
      <c r="B953" s="191"/>
      <c r="C953" s="190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</row>
    <row r="954" ht="12.75" customHeight="1">
      <c r="A954" s="190"/>
      <c r="B954" s="191"/>
      <c r="C954" s="190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</row>
    <row r="955" ht="12.75" customHeight="1">
      <c r="A955" s="190"/>
      <c r="B955" s="191"/>
      <c r="C955" s="190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</row>
    <row r="956" ht="12.75" customHeight="1">
      <c r="A956" s="190"/>
      <c r="B956" s="191"/>
      <c r="C956" s="190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</row>
    <row r="957" ht="12.75" customHeight="1">
      <c r="A957" s="190"/>
      <c r="B957" s="191"/>
      <c r="C957" s="190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</row>
    <row r="958" ht="12.75" customHeight="1">
      <c r="A958" s="190"/>
      <c r="B958" s="191"/>
      <c r="C958" s="190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</row>
    <row r="959" ht="12.75" customHeight="1">
      <c r="A959" s="190"/>
      <c r="B959" s="191"/>
      <c r="C959" s="190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</row>
    <row r="960" ht="12.75" customHeight="1">
      <c r="A960" s="190"/>
      <c r="B960" s="191"/>
      <c r="C960" s="190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</row>
    <row r="961" ht="12.75" customHeight="1">
      <c r="A961" s="190"/>
      <c r="B961" s="191"/>
      <c r="C961" s="190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</row>
    <row r="962" ht="12.75" customHeight="1">
      <c r="A962" s="190"/>
      <c r="B962" s="191"/>
      <c r="C962" s="190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</row>
    <row r="963" ht="12.75" customHeight="1">
      <c r="A963" s="190"/>
      <c r="B963" s="191"/>
      <c r="C963" s="190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</row>
    <row r="964" ht="12.75" customHeight="1">
      <c r="A964" s="190"/>
      <c r="B964" s="191"/>
      <c r="C964" s="190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</row>
    <row r="965" ht="12.75" customHeight="1">
      <c r="A965" s="190"/>
      <c r="B965" s="191"/>
      <c r="C965" s="190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</row>
    <row r="966" ht="12.75" customHeight="1">
      <c r="A966" s="190"/>
      <c r="B966" s="191"/>
      <c r="C966" s="190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</row>
    <row r="967" ht="12.75" customHeight="1">
      <c r="A967" s="190"/>
      <c r="B967" s="191"/>
      <c r="C967" s="190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</row>
    <row r="968" ht="12.75" customHeight="1">
      <c r="A968" s="190"/>
      <c r="B968" s="191"/>
      <c r="C968" s="190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</row>
    <row r="969" ht="12.75" customHeight="1">
      <c r="A969" s="190"/>
      <c r="B969" s="191"/>
      <c r="C969" s="190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</row>
    <row r="970" ht="12.75" customHeight="1">
      <c r="A970" s="190"/>
      <c r="B970" s="191"/>
      <c r="C970" s="190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</row>
    <row r="971" ht="12.75" customHeight="1">
      <c r="A971" s="190"/>
      <c r="B971" s="191"/>
      <c r="C971" s="190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</row>
    <row r="972" ht="12.75" customHeight="1">
      <c r="A972" s="190"/>
      <c r="B972" s="191"/>
      <c r="C972" s="190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</row>
    <row r="973" ht="12.75" customHeight="1">
      <c r="A973" s="190"/>
      <c r="B973" s="191"/>
      <c r="C973" s="190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</row>
    <row r="974" ht="12.75" customHeight="1">
      <c r="A974" s="190"/>
      <c r="B974" s="191"/>
      <c r="C974" s="190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</row>
    <row r="975" ht="12.75" customHeight="1">
      <c r="A975" s="190"/>
      <c r="B975" s="191"/>
      <c r="C975" s="190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</row>
    <row r="976" ht="12.75" customHeight="1">
      <c r="A976" s="190"/>
      <c r="B976" s="191"/>
      <c r="C976" s="190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</row>
    <row r="977" ht="12.75" customHeight="1">
      <c r="A977" s="190"/>
      <c r="B977" s="191"/>
      <c r="C977" s="190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</row>
    <row r="978" ht="12.75" customHeight="1">
      <c r="A978" s="190"/>
      <c r="B978" s="191"/>
      <c r="C978" s="190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</row>
    <row r="979" ht="12.75" customHeight="1">
      <c r="A979" s="190"/>
      <c r="B979" s="191"/>
      <c r="C979" s="190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</row>
    <row r="980" ht="12.75" customHeight="1">
      <c r="A980" s="190"/>
      <c r="B980" s="191"/>
      <c r="C980" s="190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</row>
    <row r="981" ht="12.75" customHeight="1">
      <c r="A981" s="190"/>
      <c r="B981" s="191"/>
      <c r="C981" s="190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</row>
    <row r="982" ht="12.75" customHeight="1">
      <c r="A982" s="190"/>
      <c r="B982" s="191"/>
      <c r="C982" s="190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</row>
    <row r="983" ht="12.75" customHeight="1">
      <c r="A983" s="190"/>
      <c r="B983" s="191"/>
      <c r="C983" s="190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</row>
    <row r="984" ht="12.75" customHeight="1">
      <c r="A984" s="190"/>
      <c r="B984" s="191"/>
      <c r="C984" s="190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</row>
    <row r="985" ht="12.75" customHeight="1">
      <c r="A985" s="190"/>
      <c r="B985" s="191"/>
      <c r="C985" s="190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</row>
    <row r="986" ht="12.75" customHeight="1">
      <c r="A986" s="190"/>
      <c r="B986" s="191"/>
      <c r="C986" s="190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</row>
    <row r="987" ht="12.75" customHeight="1">
      <c r="A987" s="190"/>
      <c r="B987" s="191"/>
      <c r="C987" s="190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</row>
    <row r="988" ht="12.75" customHeight="1">
      <c r="A988" s="190"/>
      <c r="B988" s="191"/>
      <c r="C988" s="190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</row>
    <row r="989" ht="12.75" customHeight="1">
      <c r="A989" s="190"/>
      <c r="B989" s="191"/>
      <c r="C989" s="190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</row>
    <row r="990" ht="12.75" customHeight="1">
      <c r="A990" s="190"/>
      <c r="B990" s="191"/>
      <c r="C990" s="190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</row>
    <row r="991" ht="12.75" customHeight="1">
      <c r="A991" s="190"/>
      <c r="B991" s="191"/>
      <c r="C991" s="190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</row>
    <row r="992" ht="12.75" customHeight="1">
      <c r="A992" s="190"/>
      <c r="B992" s="191"/>
      <c r="C992" s="190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</row>
    <row r="993" ht="12.75" customHeight="1">
      <c r="A993" s="190"/>
      <c r="B993" s="191"/>
      <c r="C993" s="190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</row>
    <row r="994" ht="12.75" customHeight="1">
      <c r="A994" s="190"/>
      <c r="B994" s="191"/>
      <c r="C994" s="190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</row>
    <row r="995" ht="12.75" customHeight="1">
      <c r="A995" s="190"/>
      <c r="B995" s="191"/>
      <c r="C995" s="190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</row>
    <row r="996" ht="12.75" customHeight="1">
      <c r="A996" s="190"/>
      <c r="B996" s="191"/>
      <c r="C996" s="190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</row>
    <row r="997" ht="12.75" customHeight="1">
      <c r="A997" s="190"/>
      <c r="B997" s="191"/>
      <c r="C997" s="190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</row>
    <row r="998" ht="12.75" customHeight="1">
      <c r="A998" s="190"/>
      <c r="B998" s="191"/>
      <c r="C998" s="190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</row>
    <row r="999" ht="12.75" customHeight="1">
      <c r="A999" s="190"/>
      <c r="B999" s="191"/>
      <c r="C999" s="190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</row>
    <row r="1000" ht="12.75" customHeight="1">
      <c r="A1000" s="190"/>
      <c r="B1000" s="191"/>
      <c r="C1000" s="190"/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</row>
  </sheetData>
  <mergeCells count="9">
    <mergeCell ref="B87:C87"/>
    <mergeCell ref="B98:C98"/>
    <mergeCell ref="A1:G1"/>
    <mergeCell ref="A2:B2"/>
    <mergeCell ref="E2:F2"/>
    <mergeCell ref="G2:K2"/>
    <mergeCell ref="A4:B4"/>
    <mergeCell ref="B71:C71"/>
    <mergeCell ref="D71:G71"/>
  </mergeCells>
  <printOptions horizontalCentered="1"/>
  <pageMargins bottom="0.3937007874015748" footer="0.0" header="0.0" left="0.15748031496062992" right="0.15748031496062992" top="1.062992125984252"/>
  <pageSetup scale="8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1.0"/>
    <col customWidth="1" min="4" max="4" width="10.14"/>
    <col customWidth="1" min="5" max="5" width="10.57"/>
    <col customWidth="1" min="6" max="6" width="9.14"/>
    <col customWidth="1" min="7" max="7" width="10.14"/>
    <col customWidth="1" min="8" max="8" width="9.14"/>
    <col customWidth="1" min="9" max="9" width="10.29"/>
    <col customWidth="1" min="10" max="10" width="10.43"/>
    <col customWidth="1" min="11" max="11" width="7.71"/>
    <col customWidth="1" min="12" max="12" width="8.29"/>
    <col customWidth="1" min="13" max="14" width="7.71"/>
    <col customWidth="1" min="15" max="15" width="9.14"/>
    <col customWidth="1" min="16" max="16" width="7.29"/>
    <col customWidth="1" hidden="1" min="17" max="18" width="7.29"/>
    <col customWidth="1" min="19" max="19" width="7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3.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2.75" customHeight="1">
      <c r="A3" s="44"/>
      <c r="D3" s="41" t="s">
        <v>93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7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64" t="str">
        <f>'SET SP Nataga'!$B8</f>
        <v>Eficiencia de Recaudo  Corriente</v>
      </c>
      <c r="G6" s="66"/>
      <c r="H6" s="66"/>
      <c r="I6" s="66"/>
      <c r="J6" s="66"/>
      <c r="K6" s="66"/>
      <c r="L6" s="66"/>
      <c r="M6" s="66"/>
      <c r="N6" s="66"/>
      <c r="O6" s="68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Nataga'!F8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Nataga'!A8</f>
        <v>IN01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6.5" customHeight="1">
      <c r="A11" s="87" t="str">
        <f>'SET SP Nataga'!$C8</f>
        <v>Medir la eficiencia en el recaudo corriente de la prestación de los servicios pubicos domiciliarios de Aguas del Huila.</v>
      </c>
      <c r="B11" s="63"/>
      <c r="C11" s="63"/>
      <c r="D11" s="65"/>
      <c r="E11" s="88" t="s">
        <v>150</v>
      </c>
      <c r="F11" s="89" t="str">
        <f>'SET SP Nataga'!$D8</f>
        <v>(Valor  Recaudado  Corriente Usuario Final / Valor  Facturado Corriente Usuario Final) x100%</v>
      </c>
      <c r="G11" s="65"/>
      <c r="H11" s="92">
        <f>$O18</f>
        <v>0.85</v>
      </c>
      <c r="I11" s="91" t="str">
        <f>'SET SP Nataga'!$E8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">
        <v>154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>
        <f t="shared" ref="C17:N17" si="1">$O$17</f>
        <v>0.78</v>
      </c>
      <c r="D17" s="109">
        <f t="shared" si="1"/>
        <v>0.78</v>
      </c>
      <c r="E17" s="109">
        <f t="shared" si="1"/>
        <v>0.78</v>
      </c>
      <c r="F17" s="109">
        <f t="shared" si="1"/>
        <v>0.78</v>
      </c>
      <c r="G17" s="109">
        <f t="shared" si="1"/>
        <v>0.78</v>
      </c>
      <c r="H17" s="109">
        <f t="shared" si="1"/>
        <v>0.78</v>
      </c>
      <c r="I17" s="109">
        <f t="shared" si="1"/>
        <v>0.78</v>
      </c>
      <c r="J17" s="109">
        <f t="shared" si="1"/>
        <v>0.78</v>
      </c>
      <c r="K17" s="109">
        <f t="shared" si="1"/>
        <v>0.78</v>
      </c>
      <c r="L17" s="109">
        <f t="shared" si="1"/>
        <v>0.78</v>
      </c>
      <c r="M17" s="109">
        <f t="shared" si="1"/>
        <v>0.78</v>
      </c>
      <c r="N17" s="109">
        <f t="shared" si="1"/>
        <v>0.78</v>
      </c>
      <c r="O17" s="110">
        <f>'SET SP Nataga'!J8</f>
        <v>0.78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">
        <v>158</v>
      </c>
      <c r="B18" s="58"/>
      <c r="C18" s="109">
        <f t="shared" ref="C18:N18" si="2">$O$18</f>
        <v>0.85</v>
      </c>
      <c r="D18" s="109">
        <f t="shared" si="2"/>
        <v>0.85</v>
      </c>
      <c r="E18" s="109">
        <f t="shared" si="2"/>
        <v>0.85</v>
      </c>
      <c r="F18" s="109">
        <f t="shared" si="2"/>
        <v>0.85</v>
      </c>
      <c r="G18" s="109">
        <f t="shared" si="2"/>
        <v>0.85</v>
      </c>
      <c r="H18" s="109">
        <f t="shared" si="2"/>
        <v>0.85</v>
      </c>
      <c r="I18" s="109">
        <f t="shared" si="2"/>
        <v>0.85</v>
      </c>
      <c r="J18" s="109">
        <f t="shared" si="2"/>
        <v>0.85</v>
      </c>
      <c r="K18" s="109">
        <f t="shared" si="2"/>
        <v>0.85</v>
      </c>
      <c r="L18" s="109">
        <f t="shared" si="2"/>
        <v>0.85</v>
      </c>
      <c r="M18" s="109">
        <f t="shared" si="2"/>
        <v>0.85</v>
      </c>
      <c r="N18" s="109">
        <f t="shared" si="2"/>
        <v>0.85</v>
      </c>
      <c r="O18" s="110">
        <f>'SET SP Nataga'!K8</f>
        <v>0.85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IF((C21),C20/C21,"-")</f>
        <v>0.8282544894</v>
      </c>
      <c r="D19" s="113">
        <f t="shared" si="3"/>
        <v>0.8849888003</v>
      </c>
      <c r="E19" s="113">
        <f t="shared" si="3"/>
        <v>0.8809404112</v>
      </c>
      <c r="F19" s="113">
        <f t="shared" si="3"/>
        <v>0.7774218246</v>
      </c>
      <c r="G19" s="113">
        <f t="shared" si="3"/>
        <v>0.9676484249</v>
      </c>
      <c r="H19" s="113">
        <f t="shared" si="3"/>
        <v>0.6255071548</v>
      </c>
      <c r="I19" s="113">
        <f t="shared" si="3"/>
        <v>0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0.7045931703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23.25" customHeight="1">
      <c r="A20" s="116" t="s">
        <v>159</v>
      </c>
      <c r="B20" s="117" t="s">
        <v>161</v>
      </c>
      <c r="C20" s="118">
        <f>+NATAGA2020!D$15+NATAGA2020!D$17+NATAGA2020!D$19</f>
        <v>22878400</v>
      </c>
      <c r="D20" s="118">
        <f>+NATAGA2020!E$15+NATAGA2020!E$17+NATAGA2020!E$19</f>
        <v>29259082</v>
      </c>
      <c r="E20" s="118">
        <f>+NATAGA2020!F$15+NATAGA2020!F$17+NATAGA2020!F$19</f>
        <v>24513158</v>
      </c>
      <c r="F20" s="118">
        <f>+NATAGA2020!G$15+NATAGA2020!G$17+NATAGA2020!G$19</f>
        <v>23014613</v>
      </c>
      <c r="G20" s="118">
        <f>+NATAGA2020!H$15+NATAGA2020!H$17+NATAGA2020!H$19</f>
        <v>25542880</v>
      </c>
      <c r="H20" s="118">
        <f>+NATAGA2020!I$16+NATAGA2020!I$17+NATAGA2020!I$19</f>
        <v>18646018</v>
      </c>
      <c r="I20" s="118">
        <f>+NATAGA2020!J$15+NATAGA2020!J$17+NATAGA2020!J$19</f>
        <v>0</v>
      </c>
      <c r="J20" s="118">
        <f>+NATAGA2020!K$15+NATAGA2020!K$17+NATAGA2020!K$19</f>
        <v>0</v>
      </c>
      <c r="K20" s="118">
        <f>+NATAGA2020!L$15+NATAGA2020!L$17+NATAGA2020!L$19</f>
        <v>0</v>
      </c>
      <c r="L20" s="118">
        <f>+NATAGA2020!M$15+NATAGA2020!M$17+NATAGA2020!M$19</f>
        <v>0</v>
      </c>
      <c r="M20" s="118">
        <f>+NATAGA2020!N$15+NATAGA2020!N$17+NATAGA2020!N$19</f>
        <v>0</v>
      </c>
      <c r="N20" s="118">
        <f>+NATAGA2020!O$15+NATAGA2020!O$17+NATAGA2020!O$19</f>
        <v>0</v>
      </c>
      <c r="O20" s="122">
        <f t="shared" ref="O20:O21" si="4">SUM(C20:N20)</f>
        <v>143854151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7.25" customHeight="1">
      <c r="A21" s="121"/>
      <c r="B21" s="117" t="s">
        <v>165</v>
      </c>
      <c r="C21" s="118">
        <f>+NATAGA2020!D$14+NATAGA2020!D$16+NATAGA2020!D$18</f>
        <v>27622428</v>
      </c>
      <c r="D21" s="118">
        <f>+NATAGA2020!E$14+NATAGA2020!E$16+NATAGA2020!E$18</f>
        <v>33061528</v>
      </c>
      <c r="E21" s="118">
        <f>+NATAGA2020!F$14+NATAGA2020!F$16+NATAGA2020!F$18</f>
        <v>27826125</v>
      </c>
      <c r="F21" s="118">
        <f>+NATAGA2020!G$14+NATAGA2020!G$16+NATAGA2020!G$18</f>
        <v>29603765</v>
      </c>
      <c r="G21" s="118">
        <f>+NATAGA2020!G$15+NATAGA2020!H$16+NATAGA2020!H$18</f>
        <v>26396860</v>
      </c>
      <c r="H21" s="118">
        <f>+NATAGA2020!I$14+NATAGA2020!I$16+NATAGA2020!I$18</f>
        <v>29809440</v>
      </c>
      <c r="I21" s="118">
        <f>+NATAGA2020!J$14+NATAGA2020!J$16+NATAGA2020!J$18</f>
        <v>29846112</v>
      </c>
      <c r="J21" s="118">
        <f>+NATAGA2020!K$14+NATAGA2020!K$16+NATAGA2020!K$18</f>
        <v>0</v>
      </c>
      <c r="K21" s="118">
        <f>+NATAGA2020!L$14+NATAGA2020!L$16+NATAGA2020!L$18</f>
        <v>0</v>
      </c>
      <c r="L21" s="118">
        <f>+NATAGA2020!M$14+NATAGA2020!M$16+NATAGA2020!M$18</f>
        <v>0</v>
      </c>
      <c r="M21" s="118">
        <f>+NATAGA2020!N$14+NATAGA2020!N$16+NATAGA2020!N$18</f>
        <v>0</v>
      </c>
      <c r="N21" s="118">
        <f>+NATAGA2020!O$14+NATAGA2020!O$16+NATAGA2020!O$18</f>
        <v>0</v>
      </c>
      <c r="O21" s="122">
        <f t="shared" si="4"/>
        <v>204166258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7.25" customHeight="1">
      <c r="A22" s="121"/>
      <c r="B22" s="117"/>
      <c r="C22" s="118"/>
      <c r="D22" s="118"/>
      <c r="E22" s="118"/>
      <c r="F22" s="118"/>
      <c r="G22" s="118"/>
      <c r="H22" s="118"/>
      <c r="I22" s="118"/>
      <c r="J22" s="118"/>
      <c r="K22" s="124"/>
      <c r="L22" s="124"/>
      <c r="M22" s="124"/>
      <c r="N22" s="124"/>
      <c r="O22" s="122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8.0" customHeight="1">
      <c r="A23" s="125"/>
      <c r="B23" s="132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Nataga'!$G8</f>
        <v>Entre 80% y 100%</v>
      </c>
      <c r="E24" s="134"/>
      <c r="F24" s="134"/>
      <c r="G24" s="135"/>
      <c r="H24" s="138" t="str">
        <f>'SET SP Nataga'!$H8</f>
        <v>Entre 60% y 79%</v>
      </c>
      <c r="I24" s="134"/>
      <c r="J24" s="134"/>
      <c r="K24" s="135"/>
      <c r="L24" s="138" t="str">
        <f>'SET SP Nataga'!$I8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174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176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178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181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0" customHeight="1">
      <c r="A32" s="150" t="s">
        <v>183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8.0" customHeight="1">
      <c r="A33" s="150" t="s">
        <v>185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186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193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21.0" customHeight="1">
      <c r="A42" s="150" t="s">
        <v>197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21.0" customHeight="1">
      <c r="A43" s="152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8"/>
      <c r="N43" s="157"/>
      <c r="O43" s="6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24.0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60">
        <v>0.85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60">
        <v>0.9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0.29"/>
    <col customWidth="1" min="4" max="4" width="10.14"/>
    <col customWidth="1" min="5" max="5" width="10.0"/>
    <col customWidth="1" min="6" max="9" width="10.14"/>
    <col customWidth="1" min="10" max="10" width="11.0"/>
    <col customWidth="1" min="11" max="11" width="7.71"/>
    <col customWidth="1" min="12" max="12" width="8.29"/>
    <col customWidth="1" min="13" max="14" width="7.71"/>
    <col customWidth="1" min="15" max="15" width="9.86"/>
    <col customWidth="1" min="16" max="16" width="7.43"/>
    <col customWidth="1" hidden="1" min="17" max="18" width="7.43"/>
    <col customWidth="1" min="19" max="19" width="7.43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5.0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6.5" customHeight="1">
      <c r="A3" s="44"/>
      <c r="D3" s="41" t="s">
        <v>92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7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Nataga'!$B9</f>
        <v>Eficiencia de Recaudo Total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Nataga'!F9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Nataga'!A9</f>
        <v>IN02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5.75" customHeight="1">
      <c r="A11" s="87" t="str">
        <f>'SET SP Nataga'!$C9</f>
        <v>Medir la eficiencia en el recaudo total de la prestación de los servicios pubicos domiciliarios de Aguas del Huila.</v>
      </c>
      <c r="B11" s="63"/>
      <c r="C11" s="63"/>
      <c r="D11" s="65"/>
      <c r="E11" s="88" t="s">
        <v>150</v>
      </c>
      <c r="F11" s="89" t="str">
        <f>'SET SP Nataga'!$D9</f>
        <v>(Valor  Recaudado  Total Usuario Final / Valor  total Facturado usuario Final) x100%</v>
      </c>
      <c r="G11" s="65"/>
      <c r="H11" s="92">
        <f>$O18</f>
        <v>0.75</v>
      </c>
      <c r="I11" s="91" t="str">
        <f>'SET SP Nataga'!$E9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35.2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+'01'!A15:O15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7">
        <f t="shared" ref="C17:N17" si="1">$O$17</f>
        <v>0.64</v>
      </c>
      <c r="D17" s="107">
        <f t="shared" si="1"/>
        <v>0.64</v>
      </c>
      <c r="E17" s="107">
        <f t="shared" si="1"/>
        <v>0.64</v>
      </c>
      <c r="F17" s="107">
        <f t="shared" si="1"/>
        <v>0.64</v>
      </c>
      <c r="G17" s="107">
        <f t="shared" si="1"/>
        <v>0.64</v>
      </c>
      <c r="H17" s="107">
        <f t="shared" si="1"/>
        <v>0.64</v>
      </c>
      <c r="I17" s="107">
        <f t="shared" si="1"/>
        <v>0.64</v>
      </c>
      <c r="J17" s="107">
        <f t="shared" si="1"/>
        <v>0.64</v>
      </c>
      <c r="K17" s="107">
        <f t="shared" si="1"/>
        <v>0.64</v>
      </c>
      <c r="L17" s="107">
        <f t="shared" si="1"/>
        <v>0.64</v>
      </c>
      <c r="M17" s="107">
        <f t="shared" si="1"/>
        <v>0.64</v>
      </c>
      <c r="N17" s="107">
        <f t="shared" si="1"/>
        <v>0.64</v>
      </c>
      <c r="O17" s="110">
        <f>'SET SP Nataga'!J9</f>
        <v>0.64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+'01'!A18:B18</f>
        <v>META  AÑO 2022</v>
      </c>
      <c r="B18" s="58"/>
      <c r="C18" s="107">
        <f t="shared" ref="C18:N18" si="2">$O$18</f>
        <v>0.75</v>
      </c>
      <c r="D18" s="107">
        <f t="shared" si="2"/>
        <v>0.75</v>
      </c>
      <c r="E18" s="107">
        <f t="shared" si="2"/>
        <v>0.75</v>
      </c>
      <c r="F18" s="107">
        <f t="shared" si="2"/>
        <v>0.75</v>
      </c>
      <c r="G18" s="107">
        <f t="shared" si="2"/>
        <v>0.75</v>
      </c>
      <c r="H18" s="107">
        <f t="shared" si="2"/>
        <v>0.75</v>
      </c>
      <c r="I18" s="107">
        <f t="shared" si="2"/>
        <v>0.75</v>
      </c>
      <c r="J18" s="107">
        <f t="shared" si="2"/>
        <v>0.75</v>
      </c>
      <c r="K18" s="107">
        <f t="shared" si="2"/>
        <v>0.75</v>
      </c>
      <c r="L18" s="107">
        <f t="shared" si="2"/>
        <v>0.75</v>
      </c>
      <c r="M18" s="107">
        <f t="shared" si="2"/>
        <v>0.75</v>
      </c>
      <c r="N18" s="107">
        <f t="shared" si="2"/>
        <v>0.75</v>
      </c>
      <c r="O18" s="110">
        <f>'SET SP Nataga'!K9</f>
        <v>0.75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IF((C21),C20/C21,"-")</f>
        <v>0.8343937909</v>
      </c>
      <c r="D19" s="113">
        <f t="shared" si="3"/>
        <v>0.8967488064</v>
      </c>
      <c r="E19" s="113">
        <f t="shared" si="3"/>
        <v>0.8899977098</v>
      </c>
      <c r="F19" s="113">
        <f t="shared" si="3"/>
        <v>0.8056985987</v>
      </c>
      <c r="G19" s="113">
        <f t="shared" si="3"/>
        <v>0.8465612215</v>
      </c>
      <c r="H19" s="113">
        <f t="shared" si="3"/>
        <v>0.8152064093</v>
      </c>
      <c r="I19" s="113">
        <f t="shared" si="3"/>
        <v>0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0.7224636118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8.75" customHeight="1">
      <c r="A20" s="116" t="s">
        <v>159</v>
      </c>
      <c r="B20" s="117" t="s">
        <v>160</v>
      </c>
      <c r="C20" s="118">
        <f>+NATAGA2020!D$27+NATAGA2020!D$29+NATAGA2020!D$31</f>
        <v>27233300</v>
      </c>
      <c r="D20" s="118">
        <f>+NATAGA2020!E$27+NATAGA2020!E$29+NATAGA2020!E$31</f>
        <v>34446950</v>
      </c>
      <c r="E20" s="118">
        <f>+NATAGA2020!F$27+NATAGA2020!F$29+NATAGA2020!F$31</f>
        <v>28295100</v>
      </c>
      <c r="F20" s="118">
        <f>+NATAGA2020!G$27+NATAGA2020!G$29+NATAGA2020!G$31</f>
        <v>26195150</v>
      </c>
      <c r="G20" s="118">
        <f>+NATAGA2020!H$27+NATAGA2020!H$29+NATAGA2020!H$31</f>
        <v>31302700</v>
      </c>
      <c r="H20" s="118">
        <f>+NATAGA2020!I$27+NATAGA2020!I$29+NATAGA2020!I$31</f>
        <v>28926000</v>
      </c>
      <c r="I20" s="118">
        <f>+NATAGA2020!J$27+NATAGA2020!J$29+NATAGA2020!J$31</f>
        <v>0</v>
      </c>
      <c r="J20" s="118">
        <f>+NATAGA2020!K$27+NATAGA2020!K$29+NATAGA2020!K$31</f>
        <v>0</v>
      </c>
      <c r="K20" s="118">
        <f>+NATAGA2020!L$27+NATAGA2020!L$29+NATAGA2020!L$31</f>
        <v>0</v>
      </c>
      <c r="L20" s="118">
        <f>+NATAGA2020!M$27+NATAGA2020!M$29+NATAGA2020!M$31</f>
        <v>0</v>
      </c>
      <c r="M20" s="118">
        <f>+NATAGA2020!N$27+NATAGA2020!N$29+NATAGA2020!N$31</f>
        <v>0</v>
      </c>
      <c r="N20" s="118">
        <f>+NATAGA2020!O$27+NATAGA2020!O$29+NATAGA2020!O$31</f>
        <v>0</v>
      </c>
      <c r="O20" s="120">
        <f t="shared" ref="O20:O21" si="4">SUM(C20:N20)</f>
        <v>176399200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5.75" customHeight="1">
      <c r="A21" s="121"/>
      <c r="B21" s="117" t="s">
        <v>163</v>
      </c>
      <c r="C21" s="118">
        <f>+NATAGA2020!D$26+NATAGA2020!D$28+NATAGA2020!D$30</f>
        <v>32638426</v>
      </c>
      <c r="D21" s="118">
        <f>+NATAGA2020!E$26+NATAGA2020!E$28+NATAGA2020!E$30</f>
        <v>38413154</v>
      </c>
      <c r="E21" s="118">
        <f>+NATAGA2020!F$26+NATAGA2020!F$28+NATAGA2020!F$30</f>
        <v>31792329</v>
      </c>
      <c r="F21" s="118">
        <f>+NATAGA2020!G$26+NATAGA2020!G$28+NATAGA2020!G$30</f>
        <v>32512344</v>
      </c>
      <c r="G21" s="118">
        <f>+NATAGA2020!H$26+NATAGA2020!H$28+NATAGA2020!H$30</f>
        <v>36976298</v>
      </c>
      <c r="H21" s="118">
        <f>+NATAGA2020!I$26+NATAGA2020!I$28+NATAGA2020!I$30</f>
        <v>35483038</v>
      </c>
      <c r="I21" s="118">
        <f>+NATAGA2020!J$26+NATAGA2020!J$28+NATAGA2020!J$30</f>
        <v>36347850</v>
      </c>
      <c r="J21" s="118">
        <f>+NATAGA2020!K$26+NATAGA2020!K$28+NATAGA2020!K$30</f>
        <v>0</v>
      </c>
      <c r="K21" s="118">
        <f>+NATAGA2020!L$26+NATAGA2020!L$28+NATAGA2020!L$30</f>
        <v>0</v>
      </c>
      <c r="L21" s="118">
        <f>+NATAGA2020!M$26+NATAGA2020!M$28+NATAGA2020!M$30</f>
        <v>0</v>
      </c>
      <c r="M21" s="118">
        <f>+NATAGA2020!N$26+NATAGA2020!N$28+NATAGA2020!N$30</f>
        <v>0</v>
      </c>
      <c r="N21" s="118">
        <f>+NATAGA2020!O$26+NATAGA2020!O$28+NATAGA2020!O$30</f>
        <v>0</v>
      </c>
      <c r="O21" s="120">
        <f t="shared" si="4"/>
        <v>244163439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7.25" customHeight="1">
      <c r="A22" s="121"/>
      <c r="B22" s="123"/>
      <c r="C22" s="108"/>
      <c r="D22" s="108"/>
      <c r="E22" s="108"/>
      <c r="F22" s="108"/>
      <c r="G22" s="108"/>
      <c r="H22" s="108"/>
      <c r="I22" s="108"/>
      <c r="J22" s="108"/>
      <c r="K22" s="124"/>
      <c r="L22" s="124"/>
      <c r="M22" s="124"/>
      <c r="N22" s="124"/>
      <c r="O22" s="120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8.0" customHeight="1">
      <c r="A23" s="125"/>
      <c r="B23" s="126" t="s">
        <v>167</v>
      </c>
      <c r="C23" s="127"/>
      <c r="D23" s="127"/>
      <c r="E23" s="127"/>
      <c r="F23" s="127"/>
      <c r="G23" s="127"/>
      <c r="H23" s="127"/>
      <c r="I23" s="127"/>
      <c r="J23" s="127"/>
      <c r="K23" s="128"/>
      <c r="L23" s="128"/>
      <c r="M23" s="128"/>
      <c r="N23" s="128"/>
      <c r="O23" s="129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3" t="str">
        <f>'SET SP Nataga'!$G9</f>
        <v>Entre 71% y 100%</v>
      </c>
      <c r="E24" s="134"/>
      <c r="F24" s="134"/>
      <c r="G24" s="135"/>
      <c r="H24" s="133" t="str">
        <f>'SET SP Nataga'!$H9</f>
        <v>Entre 60% y 70%</v>
      </c>
      <c r="I24" s="134"/>
      <c r="J24" s="134"/>
      <c r="K24" s="135"/>
      <c r="L24" s="133" t="str">
        <f>'SET SP Nataga'!$I9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6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170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175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177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179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180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182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184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0" customHeight="1">
      <c r="A41" s="148" t="s">
        <v>189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24.0" customHeight="1">
      <c r="A42" s="150" t="s">
        <v>190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22.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6.7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59">
        <v>0.73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59">
        <v>0.75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9.0"/>
    <col customWidth="1" min="4" max="4" width="10.14"/>
    <col customWidth="1" min="5" max="5" width="10.71"/>
    <col customWidth="1" min="6" max="6" width="8.86"/>
    <col customWidth="1" min="7" max="8" width="9.0"/>
    <col customWidth="1" min="9" max="9" width="9.57"/>
    <col customWidth="1" min="10" max="10" width="9.0"/>
    <col customWidth="1" min="11" max="11" width="7.71"/>
    <col customWidth="1" min="12" max="12" width="8.29"/>
    <col customWidth="1" min="13" max="14" width="7.71"/>
    <col customWidth="1" min="15" max="15" width="10.0"/>
    <col customWidth="1" min="16" max="16" width="7.29"/>
    <col customWidth="1" hidden="1" min="17" max="18" width="7.29"/>
    <col customWidth="1" min="19" max="19" width="7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2.7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6.5" customHeight="1">
      <c r="A3" s="44"/>
      <c r="D3" s="41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3.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Nataga'!$B10</f>
        <v>Rotación de Cartera 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Nataga'!F10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Nataga'!A10</f>
        <v>IN03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57.75" customHeight="1">
      <c r="A11" s="87" t="str">
        <f>'SET SP Nataga'!$C10</f>
        <v>Controlar la cartera existentes de servicios publicos por edades con el fin de evaluar la rotación de la misma.</v>
      </c>
      <c r="B11" s="63"/>
      <c r="C11" s="63"/>
      <c r="D11" s="65"/>
      <c r="E11" s="88" t="s">
        <v>149</v>
      </c>
      <c r="F11" s="89" t="str">
        <f>'SET SP Nataga'!$D10</f>
        <v>(Cuentas por Cobrar  a particulares y/o oficiales /  Valor Facturado Usuarios particulares y/o oficiales) x 365</v>
      </c>
      <c r="G11" s="65"/>
      <c r="H11" s="90">
        <f>$O18</f>
        <v>15</v>
      </c>
      <c r="I11" s="91" t="str">
        <f>'SET SP Nataga'!$E10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+'02'!A15:O15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8">
        <f t="shared" ref="C17:N17" si="1">$O$17</f>
        <v>16</v>
      </c>
      <c r="D17" s="108">
        <f t="shared" si="1"/>
        <v>16</v>
      </c>
      <c r="E17" s="108">
        <f t="shared" si="1"/>
        <v>16</v>
      </c>
      <c r="F17" s="108">
        <f t="shared" si="1"/>
        <v>16</v>
      </c>
      <c r="G17" s="108">
        <f t="shared" si="1"/>
        <v>16</v>
      </c>
      <c r="H17" s="108">
        <f t="shared" si="1"/>
        <v>16</v>
      </c>
      <c r="I17" s="108">
        <f t="shared" si="1"/>
        <v>16</v>
      </c>
      <c r="J17" s="108">
        <f t="shared" si="1"/>
        <v>16</v>
      </c>
      <c r="K17" s="108">
        <f t="shared" si="1"/>
        <v>16</v>
      </c>
      <c r="L17" s="108">
        <f t="shared" si="1"/>
        <v>16</v>
      </c>
      <c r="M17" s="108">
        <f t="shared" si="1"/>
        <v>16</v>
      </c>
      <c r="N17" s="108">
        <f t="shared" si="1"/>
        <v>16</v>
      </c>
      <c r="O17" s="111">
        <f>'SET SP Nataga'!J10</f>
        <v>16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+'02'!A18:B18</f>
        <v>META  AÑO 2022</v>
      </c>
      <c r="B18" s="58"/>
      <c r="C18" s="108">
        <f t="shared" ref="C18:N18" si="2">$O$18</f>
        <v>15</v>
      </c>
      <c r="D18" s="108">
        <f t="shared" si="2"/>
        <v>15</v>
      </c>
      <c r="E18" s="108">
        <f t="shared" si="2"/>
        <v>15</v>
      </c>
      <c r="F18" s="108">
        <f t="shared" si="2"/>
        <v>15</v>
      </c>
      <c r="G18" s="108">
        <f t="shared" si="2"/>
        <v>15</v>
      </c>
      <c r="H18" s="108">
        <f t="shared" si="2"/>
        <v>15</v>
      </c>
      <c r="I18" s="108">
        <f t="shared" si="2"/>
        <v>15</v>
      </c>
      <c r="J18" s="108">
        <f t="shared" si="2"/>
        <v>15</v>
      </c>
      <c r="K18" s="108">
        <f t="shared" si="2"/>
        <v>15</v>
      </c>
      <c r="L18" s="108">
        <f t="shared" si="2"/>
        <v>15</v>
      </c>
      <c r="M18" s="108">
        <f t="shared" si="2"/>
        <v>15</v>
      </c>
      <c r="N18" s="108">
        <f t="shared" si="2"/>
        <v>15</v>
      </c>
      <c r="O18" s="111">
        <f>'SET SP Nataga'!K10</f>
        <v>15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4">
        <f>IF((C22),(C20/C22)*30,"-")</f>
        <v>5.870366646</v>
      </c>
      <c r="D19" s="114">
        <f>IF((D22),(D20/D22)*60,"-")</f>
        <v>3.921501756</v>
      </c>
      <c r="E19" s="114">
        <f>IF((E22),(E20/E22)*90,"-")</f>
        <v>3.556098994</v>
      </c>
      <c r="F19" s="114">
        <f>IF((F22),(F20/F22)*120,"-")</f>
        <v>6.41807295</v>
      </c>
      <c r="G19" s="114">
        <f>IF((G22),(G20/G22)*150,"-")</f>
        <v>5.889111773</v>
      </c>
      <c r="H19" s="114">
        <f>IF((H22),(H20/H22)*180,"-")</f>
        <v>6.770685243</v>
      </c>
      <c r="I19" s="114">
        <f>IF((I22),(I20/I22)*220,"-")</f>
        <v>39.16674125</v>
      </c>
      <c r="J19" s="114">
        <f>IF((J22),(J20/J22)*250,"-")</f>
        <v>0</v>
      </c>
      <c r="K19" s="114">
        <f>IF((K22),(K20/K22)*280,"-")</f>
        <v>0</v>
      </c>
      <c r="L19" s="114">
        <f>IF((L22),(L20/L22)*310,"-")</f>
        <v>0</v>
      </c>
      <c r="M19" s="114">
        <f>IF((M22),(M20/M22)*330,"-")</f>
        <v>0</v>
      </c>
      <c r="N19" s="114">
        <f t="shared" ref="N19:O19" si="3">IF((N22),(N20/N22)*365,"-")</f>
        <v>0</v>
      </c>
      <c r="O19" s="119">
        <f t="shared" si="3"/>
        <v>10.09550887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24.75" customHeight="1">
      <c r="A20" s="116" t="s">
        <v>159</v>
      </c>
      <c r="B20" s="117" t="s">
        <v>162</v>
      </c>
      <c r="C20" s="118">
        <f>+NATAGA2020!D37</f>
        <v>5405126</v>
      </c>
      <c r="D20" s="118">
        <f>+NATAGA2020!E37</f>
        <v>3966204</v>
      </c>
      <c r="E20" s="118">
        <f>+NATAGA2020!F37</f>
        <v>3497229</v>
      </c>
      <c r="F20" s="118">
        <f>+NATAGA2020!G37</f>
        <v>6317194</v>
      </c>
      <c r="G20" s="118">
        <f>+NATAGA2020!H37</f>
        <v>5673598</v>
      </c>
      <c r="H20" s="118">
        <f>+NATAGA2020!I37</f>
        <v>6557038</v>
      </c>
      <c r="I20" s="118">
        <f>+NATAGA2020!J37</f>
        <v>36347850</v>
      </c>
      <c r="J20" s="118">
        <f>+NATAGA2020!K37</f>
        <v>0</v>
      </c>
      <c r="K20" s="118">
        <f>+NATAGA2020!L37</f>
        <v>0</v>
      </c>
      <c r="L20" s="118">
        <f>+NATAGA2020!M37</f>
        <v>0</v>
      </c>
      <c r="M20" s="118">
        <f>+NATAGA2020!N37</f>
        <v>0</v>
      </c>
      <c r="N20" s="118">
        <f>+NATAGA2020!O37</f>
        <v>0</v>
      </c>
      <c r="O20" s="122">
        <f>AVERAGE(C20:N20)</f>
        <v>5647019.917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24.75" customHeight="1">
      <c r="A21" s="121"/>
      <c r="B21" s="117" t="s">
        <v>164</v>
      </c>
      <c r="C21" s="118">
        <f>'01'!C21</f>
        <v>27622428</v>
      </c>
      <c r="D21" s="118">
        <f>'01'!D21</f>
        <v>33061528</v>
      </c>
      <c r="E21" s="118">
        <f>'01'!E21</f>
        <v>27826125</v>
      </c>
      <c r="F21" s="118">
        <f>'01'!F21</f>
        <v>29603765</v>
      </c>
      <c r="G21" s="118">
        <f>'01'!G21</f>
        <v>26396860</v>
      </c>
      <c r="H21" s="118">
        <f>'01'!H21</f>
        <v>29809440</v>
      </c>
      <c r="I21" s="118">
        <f>'01'!I21</f>
        <v>29846112</v>
      </c>
      <c r="J21" s="118">
        <f>'01'!J21</f>
        <v>0</v>
      </c>
      <c r="K21" s="118">
        <f>'01'!K21</f>
        <v>0</v>
      </c>
      <c r="L21" s="118">
        <f>'01'!L21</f>
        <v>0</v>
      </c>
      <c r="M21" s="118">
        <f>'01'!M21</f>
        <v>0</v>
      </c>
      <c r="N21" s="118">
        <f>'01'!N21</f>
        <v>0</v>
      </c>
      <c r="O21" s="122">
        <f>SUM(C21:N21)</f>
        <v>204166258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23.25" customHeight="1">
      <c r="A22" s="121"/>
      <c r="B22" s="117" t="s">
        <v>166</v>
      </c>
      <c r="C22" s="118">
        <f>C21</f>
        <v>27622428</v>
      </c>
      <c r="D22" s="118">
        <f t="shared" ref="D22:N22" si="4">C22+D21</f>
        <v>60683956</v>
      </c>
      <c r="E22" s="118">
        <f t="shared" si="4"/>
        <v>88510081</v>
      </c>
      <c r="F22" s="118">
        <f t="shared" si="4"/>
        <v>118113846</v>
      </c>
      <c r="G22" s="118">
        <f t="shared" si="4"/>
        <v>144510706</v>
      </c>
      <c r="H22" s="118">
        <f t="shared" si="4"/>
        <v>174320146</v>
      </c>
      <c r="I22" s="118">
        <f t="shared" si="4"/>
        <v>204166258</v>
      </c>
      <c r="J22" s="118">
        <f t="shared" si="4"/>
        <v>204166258</v>
      </c>
      <c r="K22" s="118">
        <f t="shared" si="4"/>
        <v>204166258</v>
      </c>
      <c r="L22" s="118">
        <f t="shared" si="4"/>
        <v>204166258</v>
      </c>
      <c r="M22" s="118">
        <f t="shared" si="4"/>
        <v>204166258</v>
      </c>
      <c r="N22" s="118">
        <f t="shared" si="4"/>
        <v>204166258</v>
      </c>
      <c r="O22" s="122">
        <f>MAX(C22:N22)</f>
        <v>204166258</v>
      </c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7.25" customHeight="1">
      <c r="A23" s="121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31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8.0" customHeight="1">
      <c r="A24" s="125"/>
      <c r="B24" s="126" t="s">
        <v>167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36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14.25" customHeight="1">
      <c r="A25" s="130" t="s">
        <v>168</v>
      </c>
      <c r="B25" s="40"/>
      <c r="C25" s="72"/>
      <c r="D25" s="138" t="str">
        <f>'SET SP Nataga'!$G10</f>
        <v>Menor a 31 días</v>
      </c>
      <c r="E25" s="134"/>
      <c r="F25" s="134"/>
      <c r="G25" s="135"/>
      <c r="H25" s="138" t="str">
        <f>'SET SP Nataga'!$H10</f>
        <v>Entre 31 y 45 días</v>
      </c>
      <c r="I25" s="134"/>
      <c r="J25" s="134"/>
      <c r="K25" s="135"/>
      <c r="L25" s="138" t="str">
        <f>'SET SP Nataga'!$I10</f>
        <v>Mayor a 45 días</v>
      </c>
      <c r="M25" s="134"/>
      <c r="N25" s="134"/>
      <c r="O25" s="135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33.0" customHeight="1">
      <c r="A26" s="48"/>
      <c r="B26" s="46"/>
      <c r="C26" s="137"/>
      <c r="D26" s="139" t="s">
        <v>15</v>
      </c>
      <c r="E26" s="140"/>
      <c r="F26" s="140"/>
      <c r="G26" s="141"/>
      <c r="H26" s="142" t="s">
        <v>16</v>
      </c>
      <c r="I26" s="140"/>
      <c r="J26" s="140"/>
      <c r="K26" s="141"/>
      <c r="L26" s="143" t="s">
        <v>17</v>
      </c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15.75" customHeight="1">
      <c r="A27" s="145" t="s">
        <v>169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4"/>
      <c r="P27" s="43"/>
      <c r="Q27" s="43"/>
      <c r="R27" s="43"/>
      <c r="S27" s="43"/>
      <c r="T27" s="43"/>
      <c r="U27" s="43"/>
      <c r="V27" s="99"/>
      <c r="W27" s="102"/>
      <c r="X27" s="102"/>
      <c r="Y27" s="43"/>
      <c r="Z27" s="43"/>
    </row>
    <row r="28" ht="264.75" customHeight="1">
      <c r="A28" s="147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5"/>
      <c r="P28" s="43"/>
      <c r="Q28" s="43"/>
      <c r="R28" s="43"/>
      <c r="S28" s="43"/>
      <c r="T28" s="43"/>
      <c r="U28" s="43"/>
      <c r="V28" s="99"/>
      <c r="W28" s="43"/>
      <c r="X28" s="43"/>
      <c r="Y28" s="43"/>
      <c r="Z28" s="43"/>
    </row>
    <row r="29" ht="15.0" customHeight="1">
      <c r="A29" s="148" t="s">
        <v>171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3"/>
      <c r="N29" s="149" t="s">
        <v>172</v>
      </c>
      <c r="O29" s="55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173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44562.0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173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44593.0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173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44621.0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173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44652.0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173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44682.0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0" t="s">
        <v>173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44713.0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44743.0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44774.0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44805.0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44835.0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44866.0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2.75" customHeight="1">
      <c r="A41" s="152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8"/>
      <c r="N41" s="151">
        <v>44896.0</v>
      </c>
      <c r="O41" s="60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9.5" customHeight="1">
      <c r="A42" s="148" t="s">
        <v>187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3"/>
      <c r="N42" s="149" t="s">
        <v>172</v>
      </c>
      <c r="O42" s="55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27.75" customHeight="1">
      <c r="A43" s="150" t="s">
        <v>188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8"/>
      <c r="N43" s="151"/>
      <c r="O43" s="6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2.75" customHeight="1">
      <c r="A44" s="15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5"/>
      <c r="N44" s="154"/>
      <c r="O44" s="70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5.25" customHeight="1">
      <c r="A45" s="15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156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191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192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194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195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196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198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199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200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151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201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202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203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79" t="s">
        <v>204</v>
      </c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58">
        <v>32.0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158">
        <v>30.0</v>
      </c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4.86"/>
    <col customWidth="1" min="3" max="3" width="8.71"/>
    <col customWidth="1" min="4" max="4" width="9.29"/>
    <col customWidth="1" min="5" max="5" width="8.14"/>
    <col customWidth="1" min="6" max="6" width="8.0"/>
    <col customWidth="1" min="7" max="14" width="9.29"/>
    <col customWidth="1" min="15" max="15" width="9.57"/>
    <col customWidth="1" min="16" max="16" width="7.29"/>
    <col customWidth="1" hidden="1" min="17" max="17" width="9.71"/>
    <col customWidth="1" hidden="1" min="18" max="18" width="7.29"/>
    <col customWidth="1" min="19" max="19" width="7.29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4.2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75" customHeight="1">
      <c r="A3" s="44"/>
      <c r="D3" s="41" t="s">
        <v>205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0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Nataga'!$B11</f>
        <v>Ejecución de inversiones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Nataga'!F11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Nataga'!A11</f>
        <v>IN04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8.0" customHeight="1">
      <c r="A11" s="87" t="str">
        <f>'SET SP Nataga'!$C11</f>
        <v>Realizar el seguimiento a la ejecución de la inversión establecida para la vigencia fiscal respectiva.</v>
      </c>
      <c r="B11" s="63"/>
      <c r="C11" s="63"/>
      <c r="D11" s="65"/>
      <c r="E11" s="88" t="s">
        <v>150</v>
      </c>
      <c r="F11" s="89" t="str">
        <f>'SET SP Nataga'!$D11</f>
        <v>(Inversión realizada / Inversión presupuestada) x 100% </v>
      </c>
      <c r="G11" s="65"/>
      <c r="H11" s="161">
        <f>$O18</f>
        <v>1</v>
      </c>
      <c r="I11" s="91" t="str">
        <f>'SET SP Nataga'!$E11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+'03'!A15:O15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7">
        <f t="shared" ref="C17:N17" si="1">$O$17</f>
        <v>0.92</v>
      </c>
      <c r="D17" s="107">
        <f t="shared" si="1"/>
        <v>0.92</v>
      </c>
      <c r="E17" s="107">
        <f t="shared" si="1"/>
        <v>0.92</v>
      </c>
      <c r="F17" s="107">
        <f t="shared" si="1"/>
        <v>0.92</v>
      </c>
      <c r="G17" s="107">
        <f t="shared" si="1"/>
        <v>0.92</v>
      </c>
      <c r="H17" s="107">
        <f t="shared" si="1"/>
        <v>0.92</v>
      </c>
      <c r="I17" s="107">
        <f t="shared" si="1"/>
        <v>0.92</v>
      </c>
      <c r="J17" s="107">
        <f t="shared" si="1"/>
        <v>0.92</v>
      </c>
      <c r="K17" s="107">
        <f t="shared" si="1"/>
        <v>0.92</v>
      </c>
      <c r="L17" s="107">
        <f t="shared" si="1"/>
        <v>0.92</v>
      </c>
      <c r="M17" s="107">
        <f t="shared" si="1"/>
        <v>0.92</v>
      </c>
      <c r="N17" s="107">
        <f t="shared" si="1"/>
        <v>0.92</v>
      </c>
      <c r="O17" s="162">
        <f>'SET SP Nataga'!J11</f>
        <v>0.92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+'03'!A18:B18</f>
        <v>META  AÑO 2022</v>
      </c>
      <c r="B18" s="58"/>
      <c r="C18" s="107">
        <f t="shared" ref="C18:N18" si="2">$O$18</f>
        <v>1</v>
      </c>
      <c r="D18" s="107">
        <f t="shared" si="2"/>
        <v>1</v>
      </c>
      <c r="E18" s="107">
        <f t="shared" si="2"/>
        <v>1</v>
      </c>
      <c r="F18" s="107">
        <f t="shared" si="2"/>
        <v>1</v>
      </c>
      <c r="G18" s="107">
        <f t="shared" si="2"/>
        <v>1</v>
      </c>
      <c r="H18" s="107">
        <f t="shared" si="2"/>
        <v>1</v>
      </c>
      <c r="I18" s="107">
        <f t="shared" si="2"/>
        <v>1</v>
      </c>
      <c r="J18" s="107">
        <f t="shared" si="2"/>
        <v>1</v>
      </c>
      <c r="K18" s="107">
        <f t="shared" si="2"/>
        <v>1</v>
      </c>
      <c r="L18" s="107">
        <f t="shared" si="2"/>
        <v>1</v>
      </c>
      <c r="M18" s="107">
        <f t="shared" si="2"/>
        <v>1</v>
      </c>
      <c r="N18" s="107">
        <f t="shared" si="2"/>
        <v>1</v>
      </c>
      <c r="O18" s="162">
        <f>'SET SP Nataga'!K11</f>
        <v>1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 t="str">
        <f t="shared" ref="C19:O19" si="3">IF((C22),C21/C22,"-")</f>
        <v>-</v>
      </c>
      <c r="D19" s="113" t="str">
        <f t="shared" si="3"/>
        <v>-</v>
      </c>
      <c r="E19" s="113" t="str">
        <f t="shared" si="3"/>
        <v>-</v>
      </c>
      <c r="F19" s="113" t="str">
        <f t="shared" si="3"/>
        <v>-</v>
      </c>
      <c r="G19" s="113" t="str">
        <f t="shared" si="3"/>
        <v>-</v>
      </c>
      <c r="H19" s="113" t="str">
        <f t="shared" si="3"/>
        <v>-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 t="str">
        <f t="shared" si="3"/>
        <v>-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7.25" customHeight="1">
      <c r="A20" s="116" t="s">
        <v>159</v>
      </c>
      <c r="B20" s="117" t="s">
        <v>206</v>
      </c>
      <c r="C20" s="124">
        <v>0.0</v>
      </c>
      <c r="D20" s="124">
        <v>0.0</v>
      </c>
      <c r="E20" s="124">
        <v>0.0</v>
      </c>
      <c r="F20" s="124">
        <v>0.0</v>
      </c>
      <c r="G20" s="118">
        <v>0.0</v>
      </c>
      <c r="H20" s="118">
        <v>0.0</v>
      </c>
      <c r="I20" s="118">
        <v>0.0</v>
      </c>
      <c r="J20" s="118">
        <v>0.0</v>
      </c>
      <c r="K20" s="118">
        <v>0.0</v>
      </c>
      <c r="L20" s="118">
        <v>0.0</v>
      </c>
      <c r="M20" s="118">
        <v>0.0</v>
      </c>
      <c r="N20" s="118">
        <v>0.0</v>
      </c>
      <c r="O20" s="122">
        <f>SUM(C20:N20)</f>
        <v>0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7.25" customHeight="1">
      <c r="A21" s="121"/>
      <c r="B21" s="117" t="s">
        <v>207</v>
      </c>
      <c r="C21" s="118">
        <f>C20</f>
        <v>0</v>
      </c>
      <c r="D21" s="118">
        <f t="shared" ref="D21:N21" si="4">C21+D20</f>
        <v>0</v>
      </c>
      <c r="E21" s="118">
        <f t="shared" si="4"/>
        <v>0</v>
      </c>
      <c r="F21" s="118">
        <f t="shared" si="4"/>
        <v>0</v>
      </c>
      <c r="G21" s="118">
        <f t="shared" si="4"/>
        <v>0</v>
      </c>
      <c r="H21" s="118">
        <f t="shared" si="4"/>
        <v>0</v>
      </c>
      <c r="I21" s="118">
        <f t="shared" si="4"/>
        <v>0</v>
      </c>
      <c r="J21" s="118">
        <f t="shared" si="4"/>
        <v>0</v>
      </c>
      <c r="K21" s="118">
        <f t="shared" si="4"/>
        <v>0</v>
      </c>
      <c r="L21" s="118">
        <f t="shared" si="4"/>
        <v>0</v>
      </c>
      <c r="M21" s="118">
        <f t="shared" si="4"/>
        <v>0</v>
      </c>
      <c r="N21" s="118">
        <f t="shared" si="4"/>
        <v>0</v>
      </c>
      <c r="O21" s="122">
        <f t="shared" ref="O21:O22" si="5">MAX(C21:N21)</f>
        <v>0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3.5" customHeight="1">
      <c r="A22" s="121"/>
      <c r="B22" s="117" t="s">
        <v>208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22">
        <f t="shared" si="5"/>
        <v>0</v>
      </c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7.25" customHeight="1">
      <c r="A23" s="121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31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8.0" customHeight="1">
      <c r="A24" s="125"/>
      <c r="B24" s="126" t="s">
        <v>167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36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14.25" customHeight="1">
      <c r="A25" s="130" t="s">
        <v>168</v>
      </c>
      <c r="B25" s="40"/>
      <c r="C25" s="72"/>
      <c r="D25" s="138" t="str">
        <f>'SET SP Nataga'!$G11</f>
        <v>Entre 80% y 100%</v>
      </c>
      <c r="E25" s="134"/>
      <c r="F25" s="134"/>
      <c r="G25" s="135"/>
      <c r="H25" s="138" t="str">
        <f>'SET SP Nataga'!$H11</f>
        <v>Entre 60% y 79%</v>
      </c>
      <c r="I25" s="134"/>
      <c r="J25" s="134"/>
      <c r="K25" s="135"/>
      <c r="L25" s="138" t="str">
        <f>'SET SP Nataga'!$I11</f>
        <v>Menor al 59%</v>
      </c>
      <c r="M25" s="134"/>
      <c r="N25" s="134"/>
      <c r="O25" s="135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33.0" customHeight="1">
      <c r="A26" s="48"/>
      <c r="B26" s="46"/>
      <c r="C26" s="137"/>
      <c r="D26" s="139" t="s">
        <v>15</v>
      </c>
      <c r="E26" s="140"/>
      <c r="F26" s="140"/>
      <c r="G26" s="141"/>
      <c r="H26" s="142" t="s">
        <v>16</v>
      </c>
      <c r="I26" s="140"/>
      <c r="J26" s="140"/>
      <c r="K26" s="141"/>
      <c r="L26" s="143" t="s">
        <v>17</v>
      </c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15.75" customHeight="1">
      <c r="A27" s="145" t="s">
        <v>169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4"/>
      <c r="P27" s="43"/>
      <c r="Q27" s="43"/>
      <c r="R27" s="43"/>
      <c r="S27" s="43"/>
      <c r="T27" s="43"/>
      <c r="U27" s="43"/>
      <c r="V27" s="99"/>
      <c r="W27" s="102"/>
      <c r="X27" s="102"/>
      <c r="Y27" s="43"/>
      <c r="Z27" s="43"/>
    </row>
    <row r="28" ht="264.75" customHeight="1">
      <c r="A28" s="147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5"/>
      <c r="P28" s="43"/>
      <c r="Q28" s="43"/>
      <c r="R28" s="43"/>
      <c r="S28" s="43"/>
      <c r="T28" s="43"/>
      <c r="U28" s="43"/>
      <c r="V28" s="99"/>
      <c r="W28" s="43"/>
      <c r="X28" s="43"/>
      <c r="Y28" s="43"/>
      <c r="Z28" s="43"/>
    </row>
    <row r="29" ht="15.0" customHeight="1">
      <c r="A29" s="148" t="s">
        <v>209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3"/>
      <c r="N29" s="149" t="s">
        <v>172</v>
      </c>
      <c r="O29" s="55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2" t="s">
        <v>210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44562.0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2" t="s">
        <v>210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44593.0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2" t="s">
        <v>210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44621.0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2" t="s">
        <v>210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44652.0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2" t="s">
        <v>210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44682.0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 t="s">
        <v>210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44713.0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44743.0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44774.0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44805.0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44835.0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44866.0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2.75" customHeight="1">
      <c r="A41" s="152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8"/>
      <c r="N41" s="151">
        <v>44896.0</v>
      </c>
      <c r="O41" s="60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9.5" customHeight="1">
      <c r="A42" s="148" t="s">
        <v>211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3"/>
      <c r="N42" s="149" t="s">
        <v>172</v>
      </c>
      <c r="O42" s="55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4.25" customHeight="1">
      <c r="A43" s="152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8"/>
      <c r="N43" s="157"/>
      <c r="O43" s="6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2.75" customHeight="1">
      <c r="A44" s="15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5"/>
      <c r="N44" s="154"/>
      <c r="O44" s="70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5.25" customHeight="1">
      <c r="A45" s="15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156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191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192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194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195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196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198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199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200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151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201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202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203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79" t="s">
        <v>204</v>
      </c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59">
        <v>0.92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159">
        <v>1.0</v>
      </c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6:K26"/>
    <mergeCell ref="L26:O26"/>
    <mergeCell ref="A17:B17"/>
    <mergeCell ref="A18:B18"/>
    <mergeCell ref="A19:B19"/>
    <mergeCell ref="A20:A24"/>
    <mergeCell ref="A25:C26"/>
    <mergeCell ref="H25:K25"/>
    <mergeCell ref="L25:O25"/>
    <mergeCell ref="D25:G25"/>
    <mergeCell ref="D26:G26"/>
    <mergeCell ref="A27:O27"/>
    <mergeCell ref="A28:O28"/>
    <mergeCell ref="A29:M29"/>
    <mergeCell ref="N29:O29"/>
    <mergeCell ref="N30:O30"/>
    <mergeCell ref="A30:M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6:M36"/>
    <mergeCell ref="N36:O36"/>
    <mergeCell ref="N37:O37"/>
    <mergeCell ref="A37:M37"/>
    <mergeCell ref="A38:M38"/>
    <mergeCell ref="N38:O38"/>
    <mergeCell ref="A39:M39"/>
    <mergeCell ref="N39:O39"/>
    <mergeCell ref="A40:M40"/>
    <mergeCell ref="N40:O40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4:M44"/>
    <mergeCell ref="A45:O45"/>
    <mergeCell ref="A41:M41"/>
    <mergeCell ref="N41:O41"/>
    <mergeCell ref="A42:M42"/>
    <mergeCell ref="N42:O42"/>
    <mergeCell ref="A43:M43"/>
    <mergeCell ref="N43:O43"/>
    <mergeCell ref="N44:O44"/>
  </mergeCells>
  <dataValidations>
    <dataValidation type="list" allowBlank="1" showErrorMessage="1" sqref="J11">
      <formula1>$Q$47:$Q$59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8.57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2.0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0" customHeight="1">
      <c r="A3" s="44"/>
      <c r="D3" s="41" t="s">
        <v>212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3.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Nataga'!$B12</f>
        <v>Cobertura   (Acueducto)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Nataga'!F12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Nataga'!A12</f>
        <v>IN05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55.5" customHeight="1">
      <c r="A11" s="87" t="str">
        <f>'SET SP Nataga'!$C12</f>
        <v>Medir el grado de cobertura en   la prestación del servicio de acueducto administrado por Aguas del Huila. </v>
      </c>
      <c r="B11" s="63"/>
      <c r="C11" s="63"/>
      <c r="D11" s="65"/>
      <c r="E11" s="88" t="s">
        <v>150</v>
      </c>
      <c r="F11" s="89" t="str">
        <f>'SET SP Nataga'!$D12</f>
        <v>(Número de Suscriptores servicio acueducto / Número de Domicilios) x 100% </v>
      </c>
      <c r="G11" s="65"/>
      <c r="H11" s="92">
        <f>$O18</f>
        <v>1</v>
      </c>
      <c r="I11" s="91" t="str">
        <f>'SET SP Nataga'!$E12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+'04'!A15:O15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>
        <f t="shared" ref="C17:N17" si="1">$O$17</f>
        <v>0.99</v>
      </c>
      <c r="D17" s="109">
        <f t="shared" si="1"/>
        <v>0.99</v>
      </c>
      <c r="E17" s="109">
        <f t="shared" si="1"/>
        <v>0.99</v>
      </c>
      <c r="F17" s="109">
        <f t="shared" si="1"/>
        <v>0.99</v>
      </c>
      <c r="G17" s="109">
        <f t="shared" si="1"/>
        <v>0.99</v>
      </c>
      <c r="H17" s="109">
        <f t="shared" si="1"/>
        <v>0.99</v>
      </c>
      <c r="I17" s="109">
        <f t="shared" si="1"/>
        <v>0.99</v>
      </c>
      <c r="J17" s="109">
        <f t="shared" si="1"/>
        <v>0.99</v>
      </c>
      <c r="K17" s="109">
        <f t="shared" si="1"/>
        <v>0.99</v>
      </c>
      <c r="L17" s="109">
        <f t="shared" si="1"/>
        <v>0.99</v>
      </c>
      <c r="M17" s="109">
        <f t="shared" si="1"/>
        <v>0.99</v>
      </c>
      <c r="N17" s="109">
        <f t="shared" si="1"/>
        <v>0.99</v>
      </c>
      <c r="O17" s="166">
        <f>'SET SP Nataga'!J12</f>
        <v>0.99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+'04'!A18:B18</f>
        <v>META  AÑO 2022</v>
      </c>
      <c r="B18" s="58"/>
      <c r="C18" s="109">
        <f t="shared" ref="C18:N18" si="2">$O$18</f>
        <v>1</v>
      </c>
      <c r="D18" s="109">
        <f t="shared" si="2"/>
        <v>1</v>
      </c>
      <c r="E18" s="109">
        <f t="shared" si="2"/>
        <v>1</v>
      </c>
      <c r="F18" s="109">
        <f t="shared" si="2"/>
        <v>1</v>
      </c>
      <c r="G18" s="109">
        <f t="shared" si="2"/>
        <v>1</v>
      </c>
      <c r="H18" s="109">
        <f t="shared" si="2"/>
        <v>1</v>
      </c>
      <c r="I18" s="109">
        <f t="shared" si="2"/>
        <v>1</v>
      </c>
      <c r="J18" s="109">
        <f t="shared" si="2"/>
        <v>1</v>
      </c>
      <c r="K18" s="109">
        <f t="shared" si="2"/>
        <v>1</v>
      </c>
      <c r="L18" s="109">
        <f t="shared" si="2"/>
        <v>1</v>
      </c>
      <c r="M18" s="109">
        <f t="shared" si="2"/>
        <v>1</v>
      </c>
      <c r="N18" s="109">
        <f t="shared" si="2"/>
        <v>1</v>
      </c>
      <c r="O18" s="166">
        <f>'SET SP Nataga'!K12</f>
        <v>1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IF((C21),C20/C21,"-")</f>
        <v>0.993814433</v>
      </c>
      <c r="D19" s="113">
        <f t="shared" si="3"/>
        <v>0.9917525773</v>
      </c>
      <c r="E19" s="113">
        <f t="shared" si="3"/>
        <v>0.9927835052</v>
      </c>
      <c r="F19" s="113">
        <f t="shared" si="3"/>
        <v>1</v>
      </c>
      <c r="G19" s="113">
        <f t="shared" si="3"/>
        <v>0.998980632</v>
      </c>
      <c r="H19" s="113">
        <f t="shared" si="3"/>
        <v>0.998980632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0.9960629921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24.0" customHeight="1">
      <c r="A20" s="116" t="s">
        <v>159</v>
      </c>
      <c r="B20" s="117" t="s">
        <v>214</v>
      </c>
      <c r="C20" s="167">
        <f>+NATAGA2020!D$6</f>
        <v>964</v>
      </c>
      <c r="D20" s="108">
        <f>+NATAGA2020!E$6</f>
        <v>962</v>
      </c>
      <c r="E20" s="108">
        <f>+NATAGA2020!F$6</f>
        <v>963</v>
      </c>
      <c r="F20" s="108">
        <f>+NATAGA2020!G$6</f>
        <v>970</v>
      </c>
      <c r="G20" s="108">
        <f>+NATAGA2020!H$6</f>
        <v>980</v>
      </c>
      <c r="H20" s="108">
        <f>+NATAGA2020!I$6</f>
        <v>980</v>
      </c>
      <c r="I20" s="108" t="str">
        <f>+NATAGA2020!J$6</f>
        <v/>
      </c>
      <c r="J20" s="108" t="str">
        <f>+NATAGA2020!K$6</f>
        <v/>
      </c>
      <c r="K20" s="108" t="str">
        <f>+NATAGA2020!L$6</f>
        <v/>
      </c>
      <c r="L20" s="108" t="str">
        <f>+NATAGA2020!M$6</f>
        <v/>
      </c>
      <c r="M20" s="108" t="str">
        <f>+NATAGA2020!N$6</f>
        <v/>
      </c>
      <c r="N20" s="108" t="str">
        <f>+NATAGA2020!O$6</f>
        <v/>
      </c>
      <c r="O20" s="120">
        <f t="shared" ref="O20:O21" si="4">SUM(C20:N20)</f>
        <v>5819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5.75" customHeight="1">
      <c r="A21" s="121"/>
      <c r="B21" s="117" t="s">
        <v>215</v>
      </c>
      <c r="C21" s="167">
        <f>+NATAGA2020!D$5</f>
        <v>970</v>
      </c>
      <c r="D21" s="108">
        <f>+NATAGA2020!E$5</f>
        <v>970</v>
      </c>
      <c r="E21" s="108">
        <f>+NATAGA2020!F$5</f>
        <v>970</v>
      </c>
      <c r="F21" s="108">
        <f>+NATAGA2020!G$5</f>
        <v>970</v>
      </c>
      <c r="G21" s="108">
        <f>+NATAGA2020!H$5</f>
        <v>981</v>
      </c>
      <c r="H21" s="108">
        <f>+NATAGA2020!I$5</f>
        <v>981</v>
      </c>
      <c r="I21" s="108" t="str">
        <f>+NATAGA2020!J$5</f>
        <v/>
      </c>
      <c r="J21" s="108" t="str">
        <f>+NATAGA2020!K$5</f>
        <v/>
      </c>
      <c r="K21" s="108" t="str">
        <f>+NATAGA2020!L$5</f>
        <v/>
      </c>
      <c r="L21" s="108" t="str">
        <f>+NATAGA2020!M$5</f>
        <v/>
      </c>
      <c r="M21" s="108" t="str">
        <f>+NATAGA2020!N$5</f>
        <v/>
      </c>
      <c r="N21" s="108" t="str">
        <f>+NATAGA2020!O$5</f>
        <v/>
      </c>
      <c r="O21" s="120">
        <f t="shared" si="4"/>
        <v>5842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7.2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8.0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Nataga'!$G12</f>
        <v>Entre 80% y 100%</v>
      </c>
      <c r="E24" s="134"/>
      <c r="F24" s="134"/>
      <c r="G24" s="135"/>
      <c r="H24" s="138" t="str">
        <f>'SET SP Nataga'!$H12</f>
        <v>Entre 60% y 79%</v>
      </c>
      <c r="I24" s="134"/>
      <c r="J24" s="134"/>
      <c r="K24" s="135"/>
      <c r="L24" s="138" t="str">
        <f>'SET SP Nataga'!$I12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216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217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218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219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221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222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223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9.5" customHeight="1">
      <c r="A41" s="148" t="s">
        <v>224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225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6.0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60">
        <v>0.92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60">
        <v>1.0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57"/>
    <col customWidth="1" hidden="1" min="17" max="18" width="6.57"/>
    <col customWidth="1" min="19" max="19" width="6.57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3.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6.5" customHeight="1">
      <c r="A3" s="44"/>
      <c r="D3" s="41" t="s">
        <v>213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3.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Nataga'!$B13</f>
        <v>Cobertura   (Alcantarillado)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Nataga'!F13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Nataga'!A13</f>
        <v>IN06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56.25" customHeight="1">
      <c r="A11" s="87" t="str">
        <f>'SET SP Nataga'!$C13</f>
        <v>Medir el grado de cobertura en   la prestación del servicio de alcantarillado administrado  por Aguas del Huila. </v>
      </c>
      <c r="B11" s="63"/>
      <c r="C11" s="63"/>
      <c r="D11" s="65"/>
      <c r="E11" s="88" t="s">
        <v>150</v>
      </c>
      <c r="F11" s="89" t="str">
        <f>'SET SP Nataga'!$D13</f>
        <v>(Número de Suscriptores servicio alcantarillado / Número de Domicilios) x 100%  </v>
      </c>
      <c r="G11" s="65"/>
      <c r="H11" s="168">
        <f>$O18</f>
        <v>1</v>
      </c>
      <c r="I11" s="91" t="str">
        <f>'SET SP Nataga'!$E13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1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+'05'!A15:O15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9">
        <f t="shared" ref="C17:N17" si="1">$O$17</f>
        <v>0.94</v>
      </c>
      <c r="D17" s="109">
        <f t="shared" si="1"/>
        <v>0.94</v>
      </c>
      <c r="E17" s="109">
        <f t="shared" si="1"/>
        <v>0.94</v>
      </c>
      <c r="F17" s="109">
        <f t="shared" si="1"/>
        <v>0.94</v>
      </c>
      <c r="G17" s="109">
        <f t="shared" si="1"/>
        <v>0.94</v>
      </c>
      <c r="H17" s="109">
        <f t="shared" si="1"/>
        <v>0.94</v>
      </c>
      <c r="I17" s="109">
        <f t="shared" si="1"/>
        <v>0.94</v>
      </c>
      <c r="J17" s="109">
        <f t="shared" si="1"/>
        <v>0.94</v>
      </c>
      <c r="K17" s="109">
        <f t="shared" si="1"/>
        <v>0.94</v>
      </c>
      <c r="L17" s="109">
        <f t="shared" si="1"/>
        <v>0.94</v>
      </c>
      <c r="M17" s="109">
        <f t="shared" si="1"/>
        <v>0.94</v>
      </c>
      <c r="N17" s="109">
        <f t="shared" si="1"/>
        <v>0.94</v>
      </c>
      <c r="O17" s="166">
        <f>'SET SP Nataga'!J13</f>
        <v>0.94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+'05'!A18:B18</f>
        <v>META  AÑO 2022</v>
      </c>
      <c r="B18" s="58"/>
      <c r="C18" s="109">
        <f t="shared" ref="C18:N18" si="2">$O$18</f>
        <v>1</v>
      </c>
      <c r="D18" s="109">
        <f t="shared" si="2"/>
        <v>1</v>
      </c>
      <c r="E18" s="109">
        <f t="shared" si="2"/>
        <v>1</v>
      </c>
      <c r="F18" s="109">
        <f t="shared" si="2"/>
        <v>1</v>
      </c>
      <c r="G18" s="109">
        <f t="shared" si="2"/>
        <v>1</v>
      </c>
      <c r="H18" s="109">
        <f t="shared" si="2"/>
        <v>1</v>
      </c>
      <c r="I18" s="109">
        <f t="shared" si="2"/>
        <v>1</v>
      </c>
      <c r="J18" s="109">
        <f t="shared" si="2"/>
        <v>1</v>
      </c>
      <c r="K18" s="109">
        <f t="shared" si="2"/>
        <v>1</v>
      </c>
      <c r="L18" s="109">
        <f t="shared" si="2"/>
        <v>1</v>
      </c>
      <c r="M18" s="109">
        <f t="shared" si="2"/>
        <v>1</v>
      </c>
      <c r="N18" s="109">
        <f t="shared" si="2"/>
        <v>1</v>
      </c>
      <c r="O18" s="166">
        <f>'SET SP Nataga'!K13</f>
        <v>1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IF((C21),C20/C21,"-")</f>
        <v>0.9649484536</v>
      </c>
      <c r="D19" s="113">
        <f t="shared" si="3"/>
        <v>0.9628865979</v>
      </c>
      <c r="E19" s="113">
        <f t="shared" si="3"/>
        <v>0.9639175258</v>
      </c>
      <c r="F19" s="113">
        <f t="shared" si="3"/>
        <v>0.9711340206</v>
      </c>
      <c r="G19" s="113">
        <f t="shared" si="3"/>
        <v>0.9704383282</v>
      </c>
      <c r="H19" s="113">
        <f t="shared" si="3"/>
        <v>0.9704383282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0.9673057172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24.75" customHeight="1">
      <c r="A20" s="116" t="s">
        <v>159</v>
      </c>
      <c r="B20" s="117" t="s">
        <v>220</v>
      </c>
      <c r="C20" s="108">
        <f>+NATAGA2020!D$7</f>
        <v>936</v>
      </c>
      <c r="D20" s="108">
        <f>+NATAGA2020!E$7</f>
        <v>934</v>
      </c>
      <c r="E20" s="108">
        <f>+NATAGA2020!F$7</f>
        <v>935</v>
      </c>
      <c r="F20" s="108">
        <f>+NATAGA2020!G$7</f>
        <v>942</v>
      </c>
      <c r="G20" s="108">
        <f>+NATAGA2020!H$7</f>
        <v>952</v>
      </c>
      <c r="H20" s="108">
        <f>+NATAGA2020!I$7</f>
        <v>952</v>
      </c>
      <c r="I20" s="108" t="str">
        <f>+NATAGA2020!J$7</f>
        <v/>
      </c>
      <c r="J20" s="108" t="str">
        <f>+NATAGA2020!K$7</f>
        <v/>
      </c>
      <c r="K20" s="108" t="str">
        <f>+NATAGA2020!L$7</f>
        <v/>
      </c>
      <c r="L20" s="108" t="str">
        <f>+NATAGA2020!M$7</f>
        <v/>
      </c>
      <c r="M20" s="108" t="str">
        <f>+NATAGA2020!N$7</f>
        <v/>
      </c>
      <c r="N20" s="108" t="str">
        <f>+NATAGA2020!O$7</f>
        <v/>
      </c>
      <c r="O20" s="120">
        <f t="shared" ref="O20:O21" si="4">SUM(C20:N20)</f>
        <v>5651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2.75" customHeight="1">
      <c r="A21" s="121"/>
      <c r="B21" s="117" t="s">
        <v>215</v>
      </c>
      <c r="C21" s="108">
        <f>+'05'!C21</f>
        <v>970</v>
      </c>
      <c r="D21" s="108">
        <f>+'05'!D21</f>
        <v>970</v>
      </c>
      <c r="E21" s="108">
        <f>+'05'!E21</f>
        <v>970</v>
      </c>
      <c r="F21" s="108">
        <f>+'05'!F21</f>
        <v>970</v>
      </c>
      <c r="G21" s="108">
        <f>+'05'!G21</f>
        <v>981</v>
      </c>
      <c r="H21" s="108">
        <f>+'05'!H21</f>
        <v>981</v>
      </c>
      <c r="I21" s="108" t="str">
        <f>+'05'!I21</f>
        <v/>
      </c>
      <c r="J21" s="108" t="str">
        <f>+'05'!J21</f>
        <v/>
      </c>
      <c r="K21" s="108" t="str">
        <f>+'05'!K21</f>
        <v/>
      </c>
      <c r="L21" s="108" t="str">
        <f>+'05'!L21</f>
        <v/>
      </c>
      <c r="M21" s="108" t="str">
        <f>+'05'!M21</f>
        <v/>
      </c>
      <c r="N21" s="108" t="str">
        <f>+'05'!N21</f>
        <v/>
      </c>
      <c r="O21" s="120">
        <f t="shared" si="4"/>
        <v>5842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7.25" customHeight="1">
      <c r="A22" s="121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1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8.0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69" t="str">
        <f>'SET SP Nataga'!$G13</f>
        <v>Entre 80% y 100%</v>
      </c>
      <c r="E24" s="134"/>
      <c r="F24" s="134"/>
      <c r="G24" s="135"/>
      <c r="H24" s="138" t="str">
        <f>'SET SP Nataga'!$H13</f>
        <v>Entre 60% y 79%</v>
      </c>
      <c r="I24" s="134"/>
      <c r="J24" s="134"/>
      <c r="K24" s="135"/>
      <c r="L24" s="138" t="str">
        <f>'SET SP Nataga'!$I13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226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227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228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0" customHeight="1">
      <c r="A31" s="150" t="s">
        <v>229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230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0" customHeight="1">
      <c r="A33" s="150" t="s">
        <v>231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231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25.5" customHeight="1">
      <c r="A41" s="148" t="s">
        <v>232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233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6.0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60">
        <v>0.92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60">
        <v>1.0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0.14"/>
    <col customWidth="1" min="4" max="11" width="7.71"/>
    <col customWidth="1" min="12" max="12" width="8.29"/>
    <col customWidth="1" min="13" max="15" width="7.71"/>
    <col customWidth="1" min="16" max="16" width="8.86"/>
    <col customWidth="1" hidden="1" min="17" max="18" width="8.86"/>
    <col customWidth="1" min="19" max="19" width="8.86"/>
    <col customWidth="1" min="20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3.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75" customHeight="1">
      <c r="A3" s="44"/>
      <c r="D3" s="41" t="s">
        <v>234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2.7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Nataga'!$B14</f>
        <v>Cobertura   (Servicio de Aseo) 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Nataga'!F14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Nataga'!A14</f>
        <v>IN07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48.75" customHeight="1">
      <c r="A11" s="87" t="str">
        <f>'SET SP Nataga'!$C14</f>
        <v>Medir el grado de cobertura en   la prestación del servicio de aseo administrado  por Aguas del Huila. </v>
      </c>
      <c r="B11" s="63"/>
      <c r="C11" s="63"/>
      <c r="D11" s="65"/>
      <c r="E11" s="88" t="s">
        <v>150</v>
      </c>
      <c r="F11" s="89" t="str">
        <f>'SET SP Nataga'!$D14</f>
        <v>(Residuos sólidos recolectada / Residuos sólidos producidos) x 100%           </v>
      </c>
      <c r="G11" s="65"/>
      <c r="H11" s="168">
        <f>$O18</f>
        <v>1</v>
      </c>
      <c r="I11" s="91" t="str">
        <f>'SET SP Nataga'!$E14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18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98" t="s">
        <v>153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+'06'!A15:O15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7">
        <f t="shared" ref="C17:N17" si="1">$O$17</f>
        <v>0.95</v>
      </c>
      <c r="D17" s="107">
        <f t="shared" si="1"/>
        <v>0.95</v>
      </c>
      <c r="E17" s="107">
        <f t="shared" si="1"/>
        <v>0.95</v>
      </c>
      <c r="F17" s="107">
        <f t="shared" si="1"/>
        <v>0.95</v>
      </c>
      <c r="G17" s="107">
        <f t="shared" si="1"/>
        <v>0.95</v>
      </c>
      <c r="H17" s="107">
        <f t="shared" si="1"/>
        <v>0.95</v>
      </c>
      <c r="I17" s="107">
        <f t="shared" si="1"/>
        <v>0.95</v>
      </c>
      <c r="J17" s="107">
        <f t="shared" si="1"/>
        <v>0.95</v>
      </c>
      <c r="K17" s="107">
        <f t="shared" si="1"/>
        <v>0.95</v>
      </c>
      <c r="L17" s="107">
        <f t="shared" si="1"/>
        <v>0.95</v>
      </c>
      <c r="M17" s="107">
        <f t="shared" si="1"/>
        <v>0.95</v>
      </c>
      <c r="N17" s="107">
        <f t="shared" si="1"/>
        <v>0.95</v>
      </c>
      <c r="O17" s="170">
        <f>'SET SP Nataga'!J14</f>
        <v>0.95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+'06'!A18:B18</f>
        <v>META  AÑO 2022</v>
      </c>
      <c r="B18" s="58"/>
      <c r="C18" s="107">
        <f t="shared" ref="C18:N18" si="2">$O$18</f>
        <v>1</v>
      </c>
      <c r="D18" s="107">
        <f t="shared" si="2"/>
        <v>1</v>
      </c>
      <c r="E18" s="107">
        <f t="shared" si="2"/>
        <v>1</v>
      </c>
      <c r="F18" s="107">
        <f t="shared" si="2"/>
        <v>1</v>
      </c>
      <c r="G18" s="107">
        <f t="shared" si="2"/>
        <v>1</v>
      </c>
      <c r="H18" s="107">
        <f t="shared" si="2"/>
        <v>1</v>
      </c>
      <c r="I18" s="107">
        <f t="shared" si="2"/>
        <v>1</v>
      </c>
      <c r="J18" s="107">
        <f t="shared" si="2"/>
        <v>1</v>
      </c>
      <c r="K18" s="107">
        <f t="shared" si="2"/>
        <v>1</v>
      </c>
      <c r="L18" s="107">
        <f t="shared" si="2"/>
        <v>1</v>
      </c>
      <c r="M18" s="107">
        <f t="shared" si="2"/>
        <v>1</v>
      </c>
      <c r="N18" s="107">
        <f t="shared" si="2"/>
        <v>1</v>
      </c>
      <c r="O18" s="170">
        <f>'SET SP Nataga'!K14</f>
        <v>1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IF(ISNUMBER(C21),C20/C21,"-")</f>
        <v>0.9639175258</v>
      </c>
      <c r="D19" s="113">
        <f t="shared" si="3"/>
        <v>0.9618556701</v>
      </c>
      <c r="E19" s="113" t="str">
        <f t="shared" si="3"/>
        <v>-</v>
      </c>
      <c r="F19" s="113" t="str">
        <f t="shared" si="3"/>
        <v>-</v>
      </c>
      <c r="G19" s="113" t="str">
        <f t="shared" si="3"/>
        <v>-</v>
      </c>
      <c r="H19" s="113" t="str">
        <f t="shared" si="3"/>
        <v>-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 t="str">
        <f t="shared" si="3"/>
        <v>-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7.25" customHeight="1">
      <c r="A20" s="116" t="s">
        <v>159</v>
      </c>
      <c r="B20" s="117" t="s">
        <v>236</v>
      </c>
      <c r="C20" s="124">
        <f>NATAGA2020!D36</f>
        <v>24.05</v>
      </c>
      <c r="D20" s="124">
        <f>NATAGA2020!E36</f>
        <v>26.82</v>
      </c>
      <c r="E20" s="124" t="str">
        <f>NATAGA2020!F36</f>
        <v>26.27</v>
      </c>
      <c r="F20" s="124" t="str">
        <f>NATAGA2020!G36</f>
        <v>28.36</v>
      </c>
      <c r="G20" s="124" t="str">
        <f>NATAGA2020!H36</f>
        <v>27.99</v>
      </c>
      <c r="H20" s="124" t="str">
        <f>NATAGA2020!I36</f>
        <v>27.82</v>
      </c>
      <c r="I20" s="124" t="str">
        <f>NATAGA2020!J36</f>
        <v/>
      </c>
      <c r="J20" s="124" t="str">
        <f>NATAGA2020!K36</f>
        <v/>
      </c>
      <c r="K20" s="124" t="str">
        <f>NATAGA2020!L36</f>
        <v/>
      </c>
      <c r="L20" s="171" t="str">
        <f>NATAGA2020!M36</f>
        <v/>
      </c>
      <c r="M20" s="171" t="str">
        <f>NATAGA2020!N36</f>
        <v/>
      </c>
      <c r="N20" s="124">
        <f>NATAGA2020!O36</f>
        <v>41.83</v>
      </c>
      <c r="O20" s="131">
        <f t="shared" ref="O20:O21" si="4">SUM(C20:N20)</f>
        <v>92.7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7.25" customHeight="1">
      <c r="A21" s="121"/>
      <c r="B21" s="117" t="s">
        <v>237</v>
      </c>
      <c r="C21" s="172">
        <f>IF(NATAGA2020!D55,C20/NATAGA2020!D55,"0")</f>
        <v>24.95026738</v>
      </c>
      <c r="D21" s="172">
        <f>IF(NATAGA2020!E55,D20/NATAGA2020!E55,"0")</f>
        <v>27.88360129</v>
      </c>
      <c r="E21" s="172" t="str">
        <f>IF(NATAGA2020!F55,E20/NATAGA2020!F55,"0")</f>
        <v>#VALUE!</v>
      </c>
      <c r="F21" s="172" t="str">
        <f>IF(NATAGA2020!G55,F20/NATAGA2020!G55,"0")</f>
        <v>#VALUE!</v>
      </c>
      <c r="G21" s="172" t="str">
        <f>IF(NATAGA2020!H55,G20/NATAGA2020!H55,"0")</f>
        <v>#VALUE!</v>
      </c>
      <c r="H21" s="172" t="str">
        <f>IF(NATAGA2020!I55,H20/NATAGA2020!I55,"0")</f>
        <v>#VALUE!</v>
      </c>
      <c r="I21" s="172" t="str">
        <f>IF(NATAGA2020!J55,I20/NATAGA2020!J55,"0")</f>
        <v>#VALUE!</v>
      </c>
      <c r="J21" s="172" t="str">
        <f>IF(NATAGA2020!K55,J20/NATAGA2020!K55,"0")</f>
        <v>#VALUE!</v>
      </c>
      <c r="K21" s="172" t="str">
        <f>IF(NATAGA2020!L55,K20/NATAGA2020!L55,"0")</f>
        <v>#VALUE!</v>
      </c>
      <c r="L21" s="172" t="str">
        <f>IF(NATAGA2020!M55,L20/NATAGA2020!M55,"0")</f>
        <v>#VALUE!</v>
      </c>
      <c r="M21" s="172" t="str">
        <f>IF(NATAGA2020!N55,M20/NATAGA2020!N55,"0")</f>
        <v>#VALUE!</v>
      </c>
      <c r="N21" s="172" t="str">
        <f>IF(NATAGA2020!O55,N20/NATAGA2020!O55,"0")</f>
        <v>#VALUE!</v>
      </c>
      <c r="O21" s="131" t="str">
        <f t="shared" si="4"/>
        <v>#VALUE!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5.0" customHeight="1">
      <c r="A22" s="121"/>
      <c r="B22" s="173"/>
      <c r="C22" s="174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6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3.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Nataga'!$G14</f>
        <v>Entre 80% y 100%</v>
      </c>
      <c r="E24" s="134"/>
      <c r="F24" s="134"/>
      <c r="G24" s="135"/>
      <c r="H24" s="138" t="str">
        <f>'SET SP Nataga'!$H14</f>
        <v>Entre 60% y 79%</v>
      </c>
      <c r="I24" s="134"/>
      <c r="J24" s="134"/>
      <c r="K24" s="135"/>
      <c r="L24" s="138" t="str">
        <f>'SET SP Nataga'!$I14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240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241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242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243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243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243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243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25.5" customHeight="1">
      <c r="A41" s="148" t="s">
        <v>250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251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/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6.0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77">
        <v>0.92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77">
        <v>1.0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6.57"/>
    <col customWidth="1" hidden="1" min="17" max="18" width="6.57"/>
    <col customWidth="1" min="19" max="20" width="6.57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0" customHeight="1">
      <c r="A1" s="39"/>
      <c r="B1" s="40"/>
      <c r="C1" s="40"/>
      <c r="D1" s="41" t="s">
        <v>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2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3.5" customHeight="1">
      <c r="A2" s="44"/>
      <c r="D2" s="45" t="s">
        <v>1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4.25" customHeight="1">
      <c r="A3" s="44"/>
      <c r="D3" s="41" t="s">
        <v>235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2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3.5" customHeight="1">
      <c r="A4" s="48"/>
      <c r="B4" s="46"/>
      <c r="C4" s="46"/>
      <c r="D4" s="49" t="s">
        <v>3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3.5" customHeight="1">
      <c r="A5" s="51" t="s">
        <v>99</v>
      </c>
      <c r="B5" s="52"/>
      <c r="C5" s="52"/>
      <c r="D5" s="52"/>
      <c r="E5" s="53"/>
      <c r="F5" s="54" t="str">
        <f>'SET SP Nataga'!J5</f>
        <v>GESTIÓN DE SERVICIOS PÚBLICOS - NATAGA</v>
      </c>
      <c r="G5" s="52"/>
      <c r="H5" s="52"/>
      <c r="I5" s="52"/>
      <c r="J5" s="52"/>
      <c r="K5" s="52"/>
      <c r="L5" s="52"/>
      <c r="M5" s="52"/>
      <c r="N5" s="52"/>
      <c r="O5" s="55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56" t="s">
        <v>6</v>
      </c>
      <c r="B6" s="57"/>
      <c r="C6" s="57"/>
      <c r="D6" s="57"/>
      <c r="E6" s="58"/>
      <c r="F6" s="59" t="str">
        <f>'SET SP Nataga'!$B15</f>
        <v>Cobertura de medición</v>
      </c>
      <c r="G6" s="57"/>
      <c r="H6" s="57"/>
      <c r="I6" s="57"/>
      <c r="J6" s="57"/>
      <c r="K6" s="57"/>
      <c r="L6" s="57"/>
      <c r="M6" s="57"/>
      <c r="N6" s="57"/>
      <c r="O6" s="60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56" t="s">
        <v>111</v>
      </c>
      <c r="B7" s="57"/>
      <c r="C7" s="57"/>
      <c r="D7" s="57"/>
      <c r="E7" s="58"/>
      <c r="F7" s="61" t="str">
        <f>'SET SP Nataga'!F15</f>
        <v>Eficiencia </v>
      </c>
      <c r="G7" s="57"/>
      <c r="H7" s="57"/>
      <c r="I7" s="57"/>
      <c r="J7" s="57"/>
      <c r="K7" s="57"/>
      <c r="L7" s="57"/>
      <c r="M7" s="57"/>
      <c r="N7" s="57"/>
      <c r="O7" s="6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7.25" customHeight="1">
      <c r="A8" s="62" t="s">
        <v>112</v>
      </c>
      <c r="B8" s="63"/>
      <c r="C8" s="63"/>
      <c r="D8" s="63"/>
      <c r="E8" s="65"/>
      <c r="F8" s="67" t="s">
        <v>117</v>
      </c>
      <c r="G8" s="69" t="str">
        <f>'SET SP Nataga'!A15</f>
        <v>IN08</v>
      </c>
      <c r="H8" s="63"/>
      <c r="I8" s="63"/>
      <c r="J8" s="63"/>
      <c r="K8" s="63"/>
      <c r="L8" s="63"/>
      <c r="M8" s="63"/>
      <c r="N8" s="63"/>
      <c r="O8" s="70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2.75" customHeight="1">
      <c r="A9" s="71" t="s">
        <v>118</v>
      </c>
      <c r="B9" s="40"/>
      <c r="C9" s="40"/>
      <c r="D9" s="72"/>
      <c r="E9" s="73" t="s">
        <v>119</v>
      </c>
      <c r="F9" s="74" t="s">
        <v>120</v>
      </c>
      <c r="G9" s="72"/>
      <c r="H9" s="73" t="s">
        <v>121</v>
      </c>
      <c r="I9" s="73" t="s">
        <v>122</v>
      </c>
      <c r="J9" s="74" t="s">
        <v>123</v>
      </c>
      <c r="K9" s="72"/>
      <c r="L9" s="78" t="s">
        <v>124</v>
      </c>
      <c r="M9" s="52"/>
      <c r="N9" s="52"/>
      <c r="O9" s="55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46.5" customHeight="1">
      <c r="A10" s="80"/>
      <c r="B10" s="81"/>
      <c r="C10" s="81"/>
      <c r="D10" s="82"/>
      <c r="E10" s="83"/>
      <c r="F10" s="84"/>
      <c r="G10" s="82"/>
      <c r="H10" s="83"/>
      <c r="I10" s="83"/>
      <c r="J10" s="84"/>
      <c r="K10" s="82"/>
      <c r="L10" s="85" t="s">
        <v>135</v>
      </c>
      <c r="M10" s="58"/>
      <c r="N10" s="85" t="s">
        <v>141</v>
      </c>
      <c r="O10" s="60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59.25" customHeight="1">
      <c r="A11" s="87" t="str">
        <f>'SET SP Nataga'!$C15</f>
        <v>Lograr que los suscriptores del servicio de acueducto de Aguas del Huila, tengan su instrumento medición.</v>
      </c>
      <c r="B11" s="63"/>
      <c r="C11" s="63"/>
      <c r="D11" s="65"/>
      <c r="E11" s="88" t="s">
        <v>150</v>
      </c>
      <c r="F11" s="89" t="str">
        <f>'SET SP Nataga'!$D15</f>
        <v>(Número de Medidores en servicio / Número de Suscriptores) x 100%          </v>
      </c>
      <c r="G11" s="65"/>
      <c r="H11" s="168">
        <f>$O18</f>
        <v>0.98</v>
      </c>
      <c r="I11" s="91" t="str">
        <f>'SET SP Nataga'!$E15</f>
        <v>Trimestral</v>
      </c>
      <c r="J11" s="93" t="s">
        <v>151</v>
      </c>
      <c r="K11" s="63"/>
      <c r="L11" s="63"/>
      <c r="M11" s="63"/>
      <c r="N11" s="63"/>
      <c r="O11" s="70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3.5" customHeight="1">
      <c r="A12" s="94" t="s">
        <v>152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24.75" customHeight="1">
      <c r="A13" s="97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0" customHeight="1">
      <c r="A14" s="163" t="s">
        <v>153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5"/>
      <c r="P14" s="43"/>
      <c r="Q14" s="43"/>
      <c r="R14" s="43"/>
      <c r="S14" s="43"/>
      <c r="T14" s="43"/>
      <c r="U14" s="43"/>
      <c r="V14" s="99"/>
      <c r="W14" s="100"/>
      <c r="X14" s="100"/>
      <c r="Y14" s="43"/>
      <c r="Z14" s="43"/>
    </row>
    <row r="15" ht="16.5" customHeight="1">
      <c r="A15" s="101" t="str">
        <f>+'07'!A15:O15</f>
        <v>VIGENCIA 2022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5"/>
      <c r="P15" s="43"/>
      <c r="Q15" s="43"/>
      <c r="R15" s="43"/>
      <c r="S15" s="43"/>
      <c r="T15" s="43"/>
      <c r="U15" s="43"/>
      <c r="V15" s="99"/>
      <c r="W15" s="102"/>
      <c r="X15" s="102"/>
      <c r="Y15" s="43"/>
      <c r="Z15" s="43"/>
    </row>
    <row r="16" ht="16.5" customHeight="1">
      <c r="A16" s="103" t="s">
        <v>155</v>
      </c>
      <c r="B16" s="58"/>
      <c r="C16" s="104" t="s">
        <v>19</v>
      </c>
      <c r="D16" s="104" t="s">
        <v>20</v>
      </c>
      <c r="E16" s="104" t="s">
        <v>21</v>
      </c>
      <c r="F16" s="104" t="s">
        <v>22</v>
      </c>
      <c r="G16" s="104" t="s">
        <v>23</v>
      </c>
      <c r="H16" s="104" t="s">
        <v>24</v>
      </c>
      <c r="I16" s="104" t="s">
        <v>25</v>
      </c>
      <c r="J16" s="104" t="s">
        <v>26</v>
      </c>
      <c r="K16" s="104" t="s">
        <v>27</v>
      </c>
      <c r="L16" s="104" t="s">
        <v>28</v>
      </c>
      <c r="M16" s="104" t="s">
        <v>29</v>
      </c>
      <c r="N16" s="104" t="s">
        <v>30</v>
      </c>
      <c r="O16" s="105" t="s">
        <v>156</v>
      </c>
      <c r="P16" s="43"/>
      <c r="Q16" s="43"/>
      <c r="R16" s="43"/>
      <c r="S16" s="43"/>
      <c r="T16" s="43"/>
      <c r="U16" s="43"/>
      <c r="V16" s="99"/>
      <c r="W16" s="102"/>
      <c r="X16" s="102"/>
      <c r="Y16" s="43"/>
      <c r="Z16" s="43"/>
    </row>
    <row r="17" ht="16.5" customHeight="1">
      <c r="A17" s="106" t="s">
        <v>12</v>
      </c>
      <c r="B17" s="58"/>
      <c r="C17" s="107">
        <f t="shared" ref="C17:N17" si="1">$O$17</f>
        <v>0.96</v>
      </c>
      <c r="D17" s="107">
        <f t="shared" si="1"/>
        <v>0.96</v>
      </c>
      <c r="E17" s="107">
        <f t="shared" si="1"/>
        <v>0.96</v>
      </c>
      <c r="F17" s="107">
        <f t="shared" si="1"/>
        <v>0.96</v>
      </c>
      <c r="G17" s="107">
        <f t="shared" si="1"/>
        <v>0.96</v>
      </c>
      <c r="H17" s="107">
        <f t="shared" si="1"/>
        <v>0.96</v>
      </c>
      <c r="I17" s="107">
        <f t="shared" si="1"/>
        <v>0.96</v>
      </c>
      <c r="J17" s="107">
        <f t="shared" si="1"/>
        <v>0.96</v>
      </c>
      <c r="K17" s="107">
        <f t="shared" si="1"/>
        <v>0.96</v>
      </c>
      <c r="L17" s="107">
        <f t="shared" si="1"/>
        <v>0.96</v>
      </c>
      <c r="M17" s="107">
        <f t="shared" si="1"/>
        <v>0.96</v>
      </c>
      <c r="N17" s="107">
        <f t="shared" si="1"/>
        <v>0.96</v>
      </c>
      <c r="O17" s="166">
        <f>'SET SP Nataga'!J15</f>
        <v>0.96</v>
      </c>
      <c r="P17" s="43"/>
      <c r="Q17" s="43"/>
      <c r="R17" s="43"/>
      <c r="S17" s="43"/>
      <c r="T17" s="43"/>
      <c r="U17" s="43"/>
      <c r="V17" s="99"/>
      <c r="W17" s="102"/>
      <c r="X17" s="102"/>
      <c r="Y17" s="43"/>
      <c r="Z17" s="43"/>
    </row>
    <row r="18" ht="17.25" customHeight="1">
      <c r="A18" s="106" t="str">
        <f>+'07'!A18:B18</f>
        <v>META  AÑO 2022</v>
      </c>
      <c r="B18" s="58"/>
      <c r="C18" s="107">
        <f t="shared" ref="C18:N18" si="2">$O$18</f>
        <v>0.98</v>
      </c>
      <c r="D18" s="107">
        <f t="shared" si="2"/>
        <v>0.98</v>
      </c>
      <c r="E18" s="107">
        <f t="shared" si="2"/>
        <v>0.98</v>
      </c>
      <c r="F18" s="107">
        <f t="shared" si="2"/>
        <v>0.98</v>
      </c>
      <c r="G18" s="107">
        <f t="shared" si="2"/>
        <v>0.98</v>
      </c>
      <c r="H18" s="107">
        <f t="shared" si="2"/>
        <v>0.98</v>
      </c>
      <c r="I18" s="107">
        <f t="shared" si="2"/>
        <v>0.98</v>
      </c>
      <c r="J18" s="107">
        <f t="shared" si="2"/>
        <v>0.98</v>
      </c>
      <c r="K18" s="107">
        <f t="shared" si="2"/>
        <v>0.98</v>
      </c>
      <c r="L18" s="107">
        <f t="shared" si="2"/>
        <v>0.98</v>
      </c>
      <c r="M18" s="107">
        <f t="shared" si="2"/>
        <v>0.98</v>
      </c>
      <c r="N18" s="107">
        <f t="shared" si="2"/>
        <v>0.98</v>
      </c>
      <c r="O18" s="166">
        <f>'SET SP Nataga'!K15</f>
        <v>0.98</v>
      </c>
      <c r="P18" s="43"/>
      <c r="Q18" s="43"/>
      <c r="R18" s="43"/>
      <c r="S18" s="43"/>
      <c r="T18" s="43"/>
      <c r="U18" s="43"/>
      <c r="V18" s="99"/>
      <c r="W18" s="102"/>
      <c r="X18" s="102"/>
      <c r="Y18" s="43"/>
      <c r="Z18" s="43"/>
    </row>
    <row r="19" ht="17.25" customHeight="1">
      <c r="A19" s="112" t="s">
        <v>157</v>
      </c>
      <c r="B19" s="58"/>
      <c r="C19" s="113">
        <f t="shared" ref="C19:O19" si="3">IF((C21),C20/C21,"-")</f>
        <v>0.9927385892</v>
      </c>
      <c r="D19" s="113">
        <f t="shared" si="3"/>
        <v>0.9916839917</v>
      </c>
      <c r="E19" s="113">
        <f t="shared" si="3"/>
        <v>0.989615784</v>
      </c>
      <c r="F19" s="113">
        <f t="shared" si="3"/>
        <v>0.987628866</v>
      </c>
      <c r="G19" s="113">
        <f t="shared" si="3"/>
        <v>0.9867346939</v>
      </c>
      <c r="H19" s="113">
        <f t="shared" si="3"/>
        <v>0.987755102</v>
      </c>
      <c r="I19" s="113" t="str">
        <f t="shared" si="3"/>
        <v>-</v>
      </c>
      <c r="J19" s="113" t="str">
        <f t="shared" si="3"/>
        <v>-</v>
      </c>
      <c r="K19" s="113" t="str">
        <f t="shared" si="3"/>
        <v>-</v>
      </c>
      <c r="L19" s="113" t="str">
        <f t="shared" si="3"/>
        <v>-</v>
      </c>
      <c r="M19" s="113" t="str">
        <f t="shared" si="3"/>
        <v>-</v>
      </c>
      <c r="N19" s="113" t="str">
        <f t="shared" si="3"/>
        <v>-</v>
      </c>
      <c r="O19" s="115">
        <f t="shared" si="3"/>
        <v>1.155696855</v>
      </c>
      <c r="P19" s="43"/>
      <c r="Q19" s="43"/>
      <c r="R19" s="43"/>
      <c r="S19" s="43"/>
      <c r="T19" s="43"/>
      <c r="U19" s="43"/>
      <c r="V19" s="99"/>
      <c r="W19" s="102"/>
      <c r="X19" s="102"/>
      <c r="Y19" s="43"/>
      <c r="Z19" s="43"/>
    </row>
    <row r="20" ht="16.5" customHeight="1">
      <c r="A20" s="116" t="s">
        <v>159</v>
      </c>
      <c r="B20" s="117" t="s">
        <v>238</v>
      </c>
      <c r="C20" s="108">
        <f>+NATAGA2020!D38</f>
        <v>957</v>
      </c>
      <c r="D20" s="108">
        <f>+NATAGA2020!E38</f>
        <v>954</v>
      </c>
      <c r="E20" s="108">
        <f>+NATAGA2020!F38</f>
        <v>953</v>
      </c>
      <c r="F20" s="108">
        <f>+NATAGA2020!G38</f>
        <v>958</v>
      </c>
      <c r="G20" s="108">
        <f>+NATAGA2020!H38</f>
        <v>967</v>
      </c>
      <c r="H20" s="108">
        <f>+NATAGA2020!I38</f>
        <v>968</v>
      </c>
      <c r="I20" s="108">
        <f>+NATAGA2020!J38</f>
        <v>968</v>
      </c>
      <c r="J20" s="108" t="str">
        <f t="shared" ref="J20:N20" si="4">+J21</f>
        <v/>
      </c>
      <c r="K20" s="108" t="str">
        <f t="shared" si="4"/>
        <v/>
      </c>
      <c r="L20" s="108" t="str">
        <f t="shared" si="4"/>
        <v/>
      </c>
      <c r="M20" s="108" t="str">
        <f t="shared" si="4"/>
        <v/>
      </c>
      <c r="N20" s="108" t="str">
        <f t="shared" si="4"/>
        <v/>
      </c>
      <c r="O20" s="120">
        <f t="shared" ref="O20:O21" si="5">SUM(C20:N20)</f>
        <v>6725</v>
      </c>
      <c r="P20" s="43"/>
      <c r="Q20" s="43"/>
      <c r="R20" s="43"/>
      <c r="S20" s="43"/>
      <c r="T20" s="43"/>
      <c r="U20" s="43"/>
      <c r="V20" s="99"/>
      <c r="W20" s="102"/>
      <c r="X20" s="102"/>
      <c r="Y20" s="43"/>
      <c r="Z20" s="43"/>
    </row>
    <row r="21" ht="14.25" customHeight="1">
      <c r="A21" s="121"/>
      <c r="B21" s="117" t="s">
        <v>239</v>
      </c>
      <c r="C21" s="108">
        <f>+'05'!C20</f>
        <v>964</v>
      </c>
      <c r="D21" s="108">
        <f>+'05'!D20</f>
        <v>962</v>
      </c>
      <c r="E21" s="108">
        <f>+'05'!E20</f>
        <v>963</v>
      </c>
      <c r="F21" s="108">
        <f>+'05'!F20</f>
        <v>970</v>
      </c>
      <c r="G21" s="108">
        <f>+'05'!G20</f>
        <v>980</v>
      </c>
      <c r="H21" s="108">
        <f>+'05'!H20</f>
        <v>980</v>
      </c>
      <c r="I21" s="108" t="str">
        <f>+'05'!I20</f>
        <v/>
      </c>
      <c r="J21" s="108" t="str">
        <f>+'05'!J20</f>
        <v/>
      </c>
      <c r="K21" s="108" t="str">
        <f>+'05'!K20</f>
        <v/>
      </c>
      <c r="L21" s="108" t="str">
        <f>+'05'!L20</f>
        <v/>
      </c>
      <c r="M21" s="108" t="str">
        <f>+'05'!M20</f>
        <v/>
      </c>
      <c r="N21" s="108" t="str">
        <f>+'05'!N20</f>
        <v/>
      </c>
      <c r="O21" s="120">
        <f t="shared" si="5"/>
        <v>5819</v>
      </c>
      <c r="P21" s="43"/>
      <c r="Q21" s="43"/>
      <c r="R21" s="43"/>
      <c r="S21" s="43"/>
      <c r="T21" s="43"/>
      <c r="U21" s="43"/>
      <c r="V21" s="99"/>
      <c r="W21" s="102"/>
      <c r="X21" s="102"/>
      <c r="Y21" s="43"/>
      <c r="Z21" s="43"/>
    </row>
    <row r="22" ht="14.25" customHeight="1">
      <c r="A22" s="121"/>
      <c r="B22" s="173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6"/>
      <c r="P22" s="43"/>
      <c r="Q22" s="43"/>
      <c r="R22" s="43"/>
      <c r="S22" s="43"/>
      <c r="T22" s="43"/>
      <c r="U22" s="43"/>
      <c r="V22" s="99"/>
      <c r="W22" s="102"/>
      <c r="X22" s="102"/>
      <c r="Y22" s="43"/>
      <c r="Z22" s="43"/>
    </row>
    <row r="23" ht="14.25" customHeight="1">
      <c r="A23" s="125"/>
      <c r="B23" s="126" t="s">
        <v>167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36"/>
      <c r="P23" s="43"/>
      <c r="Q23" s="43"/>
      <c r="R23" s="43"/>
      <c r="S23" s="43"/>
      <c r="T23" s="43"/>
      <c r="U23" s="43"/>
      <c r="V23" s="99"/>
      <c r="W23" s="102"/>
      <c r="X23" s="102"/>
      <c r="Y23" s="43"/>
      <c r="Z23" s="43"/>
    </row>
    <row r="24" ht="14.25" customHeight="1">
      <c r="A24" s="130" t="s">
        <v>168</v>
      </c>
      <c r="B24" s="40"/>
      <c r="C24" s="72"/>
      <c r="D24" s="138" t="str">
        <f>'SET SP Nataga'!$G15</f>
        <v>Entre 80% y 100%</v>
      </c>
      <c r="E24" s="134"/>
      <c r="F24" s="134"/>
      <c r="G24" s="135"/>
      <c r="H24" s="138" t="str">
        <f>'SET SP Nataga'!$H15</f>
        <v>Entre 60% y 79%</v>
      </c>
      <c r="I24" s="134"/>
      <c r="J24" s="134"/>
      <c r="K24" s="135"/>
      <c r="L24" s="138" t="str">
        <f>'SET SP Nataga'!$I15</f>
        <v>Menor al 59%</v>
      </c>
      <c r="M24" s="134"/>
      <c r="N24" s="134"/>
      <c r="O24" s="135"/>
      <c r="P24" s="43"/>
      <c r="Q24" s="43"/>
      <c r="R24" s="43"/>
      <c r="S24" s="43"/>
      <c r="T24" s="43"/>
      <c r="U24" s="43"/>
      <c r="V24" s="99"/>
      <c r="W24" s="102"/>
      <c r="X24" s="102"/>
      <c r="Y24" s="43"/>
      <c r="Z24" s="43"/>
    </row>
    <row r="25" ht="33.0" customHeight="1">
      <c r="A25" s="48"/>
      <c r="B25" s="46"/>
      <c r="C25" s="137"/>
      <c r="D25" s="139" t="s">
        <v>15</v>
      </c>
      <c r="E25" s="140"/>
      <c r="F25" s="140"/>
      <c r="G25" s="141"/>
      <c r="H25" s="142" t="s">
        <v>16</v>
      </c>
      <c r="I25" s="140"/>
      <c r="J25" s="140"/>
      <c r="K25" s="141"/>
      <c r="L25" s="143" t="s">
        <v>17</v>
      </c>
      <c r="M25" s="140"/>
      <c r="N25" s="140"/>
      <c r="O25" s="144"/>
      <c r="P25" s="43"/>
      <c r="Q25" s="43"/>
      <c r="R25" s="43"/>
      <c r="S25" s="43"/>
      <c r="T25" s="43"/>
      <c r="U25" s="43"/>
      <c r="V25" s="99"/>
      <c r="W25" s="102"/>
      <c r="X25" s="102"/>
      <c r="Y25" s="43"/>
      <c r="Z25" s="43"/>
    </row>
    <row r="26" ht="15.75" customHeight="1">
      <c r="A26" s="145" t="s">
        <v>169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4"/>
      <c r="P26" s="43"/>
      <c r="Q26" s="43"/>
      <c r="R26" s="43"/>
      <c r="S26" s="43"/>
      <c r="T26" s="43"/>
      <c r="U26" s="43"/>
      <c r="V26" s="99"/>
      <c r="W26" s="102"/>
      <c r="X26" s="102"/>
      <c r="Y26" s="43"/>
      <c r="Z26" s="43"/>
    </row>
    <row r="27" ht="264.75" customHeight="1">
      <c r="A27" s="147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43"/>
      <c r="Q27" s="43"/>
      <c r="R27" s="43"/>
      <c r="S27" s="43"/>
      <c r="T27" s="43"/>
      <c r="U27" s="43"/>
      <c r="V27" s="99"/>
      <c r="W27" s="43"/>
      <c r="X27" s="43"/>
      <c r="Y27" s="43"/>
      <c r="Z27" s="43"/>
    </row>
    <row r="28" ht="15.0" customHeight="1">
      <c r="A28" s="148" t="s">
        <v>244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149" t="s">
        <v>172</v>
      </c>
      <c r="O28" s="55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2.75" customHeight="1">
      <c r="A29" s="150" t="s">
        <v>245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51">
        <v>44562.0</v>
      </c>
      <c r="O29" s="60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2.75" customHeight="1">
      <c r="A30" s="150" t="s">
        <v>246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  <c r="N30" s="151">
        <v>44593.0</v>
      </c>
      <c r="O30" s="60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2.75" customHeight="1">
      <c r="A31" s="150" t="s">
        <v>247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51">
        <v>44621.0</v>
      </c>
      <c r="O31" s="60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2.75" customHeight="1">
      <c r="A32" s="150" t="s">
        <v>248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151">
        <v>44652.0</v>
      </c>
      <c r="O32" s="60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2.75" customHeight="1">
      <c r="A33" s="150" t="s">
        <v>249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151">
        <v>44682.0</v>
      </c>
      <c r="O33" s="60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2.75" customHeight="1">
      <c r="A34" s="150" t="s">
        <v>248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151">
        <v>44713.0</v>
      </c>
      <c r="O34" s="60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2.75" customHeight="1">
      <c r="A35" s="15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151">
        <v>44743.0</v>
      </c>
      <c r="O35" s="60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2.75" customHeight="1">
      <c r="A36" s="15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8"/>
      <c r="N36" s="151">
        <v>44774.0</v>
      </c>
      <c r="O36" s="60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2.75" customHeight="1">
      <c r="A37" s="152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8"/>
      <c r="N37" s="151">
        <v>44805.0</v>
      </c>
      <c r="O37" s="60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2.75" customHeight="1">
      <c r="A38" s="152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8"/>
      <c r="N38" s="151">
        <v>44835.0</v>
      </c>
      <c r="O38" s="60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2.75" customHeight="1">
      <c r="A39" s="152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8"/>
      <c r="N39" s="151">
        <v>44866.0</v>
      </c>
      <c r="O39" s="60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2.75" customHeight="1">
      <c r="A40" s="15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  <c r="N40" s="151">
        <v>44896.0</v>
      </c>
      <c r="O40" s="60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25.5" customHeight="1">
      <c r="A41" s="148" t="s">
        <v>252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3"/>
      <c r="N41" s="149" t="s">
        <v>172</v>
      </c>
      <c r="O41" s="55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2.75" customHeight="1">
      <c r="A42" s="150" t="s">
        <v>253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8"/>
      <c r="N42" s="157" t="s">
        <v>167</v>
      </c>
      <c r="O42" s="60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2.75" customHeight="1">
      <c r="A43" s="15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5"/>
      <c r="N43" s="154"/>
      <c r="O43" s="70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3.75" customHeight="1">
      <c r="A44" s="15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156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 t="s">
        <v>191</v>
      </c>
      <c r="R46" s="43"/>
      <c r="S46" s="43"/>
      <c r="T46" s="43"/>
      <c r="U46" s="43"/>
      <c r="V46" s="43"/>
      <c r="W46" s="43"/>
      <c r="X46" s="43"/>
      <c r="Y46" s="43"/>
      <c r="Z46" s="43"/>
    </row>
    <row r="47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 t="s">
        <v>192</v>
      </c>
      <c r="R47" s="43"/>
      <c r="S47" s="43"/>
      <c r="T47" s="43"/>
      <c r="U47" s="43"/>
      <c r="V47" s="43"/>
      <c r="W47" s="43"/>
      <c r="X47" s="43"/>
      <c r="Y47" s="43"/>
      <c r="Z47" s="43"/>
    </row>
    <row r="48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 t="s">
        <v>194</v>
      </c>
      <c r="R48" s="43"/>
      <c r="S48" s="43"/>
      <c r="T48" s="43"/>
      <c r="U48" s="43"/>
      <c r="V48" s="43"/>
      <c r="W48" s="43"/>
      <c r="X48" s="43"/>
      <c r="Y48" s="43"/>
      <c r="Z48" s="43"/>
    </row>
    <row r="49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 t="s">
        <v>195</v>
      </c>
      <c r="R49" s="43"/>
      <c r="S49" s="43"/>
      <c r="T49" s="43"/>
      <c r="U49" s="43"/>
      <c r="V49" s="43"/>
      <c r="W49" s="43"/>
      <c r="X49" s="43"/>
      <c r="Y49" s="43"/>
      <c r="Z49" s="43"/>
    </row>
    <row r="50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 t="s">
        <v>196</v>
      </c>
      <c r="R50" s="43"/>
      <c r="S50" s="43"/>
      <c r="T50" s="43"/>
      <c r="U50" s="43"/>
      <c r="V50" s="43"/>
      <c r="W50" s="43"/>
      <c r="X50" s="43"/>
      <c r="Y50" s="43"/>
      <c r="Z50" s="43"/>
    </row>
    <row r="51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 t="s">
        <v>198</v>
      </c>
      <c r="R51" s="43"/>
      <c r="S51" s="43"/>
      <c r="T51" s="43"/>
      <c r="U51" s="43"/>
      <c r="V51" s="43"/>
      <c r="W51" s="43"/>
      <c r="X51" s="43"/>
      <c r="Y51" s="43"/>
      <c r="Z51" s="43"/>
    </row>
    <row r="52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 t="s">
        <v>199</v>
      </c>
      <c r="R52" s="43"/>
      <c r="S52" s="43"/>
      <c r="T52" s="43"/>
      <c r="U52" s="43"/>
      <c r="V52" s="43"/>
      <c r="W52" s="43"/>
      <c r="X52" s="43"/>
      <c r="Y52" s="43"/>
      <c r="Z52" s="43"/>
    </row>
    <row r="53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 t="s">
        <v>200</v>
      </c>
      <c r="R53" s="43"/>
      <c r="S53" s="43"/>
      <c r="T53" s="43"/>
      <c r="U53" s="43"/>
      <c r="V53" s="43"/>
      <c r="W53" s="43"/>
      <c r="X53" s="43"/>
      <c r="Y53" s="43"/>
      <c r="Z53" s="43"/>
    </row>
    <row r="54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 t="s">
        <v>151</v>
      </c>
      <c r="R54" s="43"/>
      <c r="S54" s="43"/>
      <c r="T54" s="43"/>
      <c r="U54" s="43"/>
      <c r="V54" s="43"/>
      <c r="W54" s="43"/>
      <c r="X54" s="43"/>
      <c r="Y54" s="43"/>
      <c r="Z54" s="43"/>
    </row>
    <row r="55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9" t="s">
        <v>201</v>
      </c>
      <c r="R55" s="43"/>
      <c r="S55" s="43"/>
      <c r="T55" s="43"/>
      <c r="U55" s="43"/>
      <c r="V55" s="43"/>
      <c r="W55" s="43"/>
      <c r="X55" s="43"/>
      <c r="Y55" s="43"/>
      <c r="Z55" s="43"/>
    </row>
    <row r="5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9" t="s">
        <v>202</v>
      </c>
      <c r="R56" s="43"/>
      <c r="S56" s="43"/>
      <c r="T56" s="43"/>
      <c r="U56" s="43"/>
      <c r="V56" s="43"/>
      <c r="W56" s="43"/>
      <c r="X56" s="43"/>
      <c r="Y56" s="43"/>
      <c r="Z56" s="43"/>
    </row>
    <row r="57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79" t="s">
        <v>203</v>
      </c>
      <c r="R57" s="43"/>
      <c r="S57" s="43"/>
      <c r="T57" s="43"/>
      <c r="U57" s="43"/>
      <c r="V57" s="43"/>
      <c r="W57" s="43"/>
      <c r="X57" s="43"/>
      <c r="Y57" s="43"/>
      <c r="Z57" s="43"/>
    </row>
    <row r="58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79" t="s">
        <v>204</v>
      </c>
      <c r="R58" s="43"/>
      <c r="S58" s="43"/>
      <c r="T58" s="43"/>
      <c r="U58" s="43"/>
      <c r="V58" s="43"/>
      <c r="W58" s="43"/>
      <c r="X58" s="43"/>
      <c r="Y58" s="43"/>
      <c r="Z58" s="43"/>
    </row>
    <row r="59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77">
        <v>0.88</v>
      </c>
      <c r="R60" s="43"/>
      <c r="S60" s="43"/>
      <c r="T60" s="43"/>
      <c r="U60" s="43"/>
      <c r="V60" s="43"/>
      <c r="W60" s="43"/>
      <c r="X60" s="43"/>
      <c r="Y60" s="43"/>
      <c r="Z60" s="43"/>
    </row>
    <row r="61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77">
        <v>0.9</v>
      </c>
      <c r="R61" s="43"/>
      <c r="S61" s="43"/>
      <c r="T61" s="43"/>
      <c r="U61" s="43"/>
      <c r="V61" s="43"/>
      <c r="W61" s="43"/>
      <c r="X61" s="43"/>
      <c r="Y61" s="43"/>
      <c r="Z61" s="43"/>
    </row>
    <row r="62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